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dGPJUlWMqTTL8tOWUL8t5rG60Zdgo0/4Gju+2t9KFZAahwvN/S/UNIXsn07iK3sK+Ng7/82QY0OEGgH05uY5ag==" workbookSaltValue="qgHr5IbwBfYlZosYuE0qX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J70" i="83" l="1"/>
  <c r="AN70" i="83" s="1"/>
  <c r="Y52" i="83" s="1"/>
  <c r="AG190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G334" i="83" l="1"/>
  <c r="AI334" i="83"/>
  <c r="AO245" i="83"/>
  <c r="AP245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<sst xmlns="http://schemas.openxmlformats.org/spreadsheetml/2006/main" count="65865" uniqueCount="755">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</sst>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29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1.1138925511705564E-2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0.98886107448829452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7.0000000000000021E-2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1.5000000000000001E-2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1041882.36</v>
      </c>
    </row>
    <row r="4" spans="1:29" x14ac:dyDescent="0.25">
      <c r="A4" s="2">
        <f>Results!$D$3</f>
        <v>29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29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29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0.61285791617263208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4.9919584466893395E-2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6.3096581301140639E-2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9.1036667320095827E-2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7.1281610042149723E-2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7.973008059677951E-2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1.5748776260555292E-2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3.5169414864261108E-4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1.4482553958310496E-2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1.4945357328004889E-3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7.2202602361703422E-2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7.0438258337620838E-2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6.9438258337620837E-2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6.7438258337620849E-2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1.2979051717621008E-2</v>
      </c>
      <c r="AB6" s="2">
        <f>SUMIFS(PERSALDATA!$G$2:$G$20871,PERSALDATA!$A$2:$A$20871,WORKING!A6,PERSALDATA!$D$2:$D$20871,WORKING!B6,PERSALDATA!$E$2:$E$20871,WORKING!C6,PERSALDATA!$F$2:$F$20871,"S&amp;W: BASIC SALARY (RES)")</f>
        <v>37</v>
      </c>
      <c r="AC6" s="2">
        <f>SUMIFS(PERSALDATA!$H$2:$H$20871,PERSALDATA!$A$2:$A$20871,WORKING!A6,PERSALDATA!$D$2:$D$20871,WORKING!B6,PERSALDATA!$E$2:$E$20871,WORKING!C6)</f>
        <v>7360145.1999999993</v>
      </c>
    </row>
    <row r="7" spans="1:29" x14ac:dyDescent="0.25">
      <c r="A7" s="2">
        <f>Results!$D$3</f>
        <v>29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0.66264147316246569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5.2827654928984308E-2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5.7001401732171407E-2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3.7997822673520705E-2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7.4479813086599678E-2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8.6174349850618642E-2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1.7442702917973351E-2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3.3528908806878903E-4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1.0305324649709924E-2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7.9416790988744558E-4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7.2710610851567367E-2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7.0547183178977277E-2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6.9547183178977304E-2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6.7547183178977274E-2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1.3022752441397398E-2</v>
      </c>
      <c r="AB7" s="2">
        <f>SUMIFS(PERSALDATA!$G$2:$G$20871,PERSALDATA!$A$2:$A$20871,WORKING!A7,PERSALDATA!$D$2:$D$20871,WORKING!B7,PERSALDATA!$E$2:$E$20871,WORKING!C7,PERSALDATA!$F$2:$F$20871,"S&amp;W: BASIC SALARY (RES)")</f>
        <v>68</v>
      </c>
      <c r="AC7" s="2">
        <f>SUMIFS(PERSALDATA!$H$2:$H$20871,PERSALDATA!$A$2:$A$20871,WORKING!A7,PERSALDATA!$D$2:$D$20871,WORKING!B7,PERSALDATA!$E$2:$E$20871,WORKING!C7)</f>
        <v>15110154.73</v>
      </c>
    </row>
    <row r="8" spans="1:29" x14ac:dyDescent="0.25">
      <c r="A8" s="2">
        <f>Results!$D$3</f>
        <v>29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0.70221917984001114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5.8798740107296049E-2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5.1318203105281589E-2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2.2560802631822557E-2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5.1157266123683653E-2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9.1296106115289127E-2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2.0572409103224536E-2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2.9075848756778352E-4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1.7865344858235541E-3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7.2816018289730167E-2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7.0254176960802453E-2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6.9254176960802466E-2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6.725417696080245E-2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1.3458506584252003E-2</v>
      </c>
      <c r="AB8" s="2">
        <f>SUMIFS(PERSALDATA!$G$2:$G$20871,PERSALDATA!$A$2:$A$20871,WORKING!A8,PERSALDATA!$D$2:$D$20871,WORKING!B8,PERSALDATA!$E$2:$E$20871,WORKING!C8,PERSALDATA!$F$2:$F$20871,"S&amp;W: BASIC SALARY (RES)")</f>
        <v>26</v>
      </c>
      <c r="AC8" s="2">
        <f>SUMIFS(PERSALDATA!$H$2:$H$20871,PERSALDATA!$A$2:$A$20871,WORKING!A8,PERSALDATA!$D$2:$D$20871,WORKING!B8,PERSALDATA!$E$2:$E$20871,WORKING!C8)</f>
        <v>6716914.8399999999</v>
      </c>
    </row>
    <row r="9" spans="1:29" x14ac:dyDescent="0.25">
      <c r="A9" s="2">
        <f>Results!$D$3</f>
        <v>29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0.7160097710232195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5.7731514757028618E-2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4.2239195578709733E-2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1.6321364489450575E-2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5.0461013079464316E-2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9.3100388049245864E-2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1.8319035558784461E-2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2.3764047602453951E-4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4.586392514676013E-4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4.936502554561452E-3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1.8493518204338761E-4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7.3496275319130569E-2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7.0334523240404886E-2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6.9334523240404899E-2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6.7334523240404856E-2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1.3605932262987022E-2</v>
      </c>
      <c r="AB9" s="2">
        <f>SUMIFS(PERSALDATA!$G$2:$G$20871,PERSALDATA!$A$2:$A$20871,WORKING!A9,PERSALDATA!$D$2:$D$20871,WORKING!B9,PERSALDATA!$E$2:$E$20871,WORKING!C9,PERSALDATA!$F$2:$F$20871,"S&amp;W: BASIC SALARY (RES)")</f>
        <v>56</v>
      </c>
      <c r="AC9" s="2">
        <f>SUMIFS(PERSALDATA!$H$2:$H$20871,PERSALDATA!$A$2:$A$20871,WORKING!A9,PERSALDATA!$D$2:$D$20871,WORKING!B9,PERSALDATA!$E$2:$E$20871,WORKING!C9)</f>
        <v>16221899.839999998</v>
      </c>
    </row>
    <row r="10" spans="1:29" x14ac:dyDescent="0.25">
      <c r="A10" s="2">
        <f>Results!$D$3</f>
        <v>29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0.72584864582640707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5.853352661269727E-2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3.5013549325895288E-2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1.6450166186386391E-2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4.4912255537800407E-2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9.4368426037618108E-2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1.8531392937558542E-2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1.9754418635803501E-4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9.1702152996392427E-4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2.6727197563655579E-3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2.5547520629493488E-3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7.3967741828761174E-2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7.0323548339808056E-2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6.9323548339808042E-2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6.7323548339808054E-2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1.3798149764249196E-2</v>
      </c>
      <c r="AB10" s="2">
        <f>SUMIFS(PERSALDATA!$G$2:$G$20871,PERSALDATA!$A$2:$A$20871,WORKING!A10,PERSALDATA!$D$2:$D$20871,WORKING!B10,PERSALDATA!$E$2:$E$20871,WORKING!C10,PERSALDATA!$F$2:$F$20871,"S&amp;W: BASIC SALARY (RES)")</f>
        <v>39</v>
      </c>
      <c r="AC10" s="2">
        <f>SUMIFS(PERSALDATA!$H$2:$H$20871,PERSALDATA!$A$2:$A$20871,WORKING!A10,PERSALDATA!$D$2:$D$20871,WORKING!B10,PERSALDATA!$E$2:$E$20871,WORKING!C10)</f>
        <v>14874241.83</v>
      </c>
    </row>
    <row r="11" spans="1:29" x14ac:dyDescent="0.25">
      <c r="A11" s="2">
        <f>Results!$D$3</f>
        <v>29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0.70213822996378961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5.6252335730807117E-2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2.6373008620906632E-2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2.6959699091609616E-2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4.2881665575315982E-2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9.1284267572470268E-2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2.2548718424940419E-2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1.6008156301797018E-4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2.9602470503479413E-2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1.7995229536630758E-3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7.4595994662865553E-2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7.037949489742068E-2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6.9379494897420679E-2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6.7379494897420691E-2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1.3958778663611391E-2</v>
      </c>
      <c r="AB11" s="2">
        <f>SUMIFS(PERSALDATA!$G$2:$G$20871,PERSALDATA!$A$2:$A$20871,WORKING!A11,PERSALDATA!$D$2:$D$20871,WORKING!B11,PERSALDATA!$E$2:$E$20871,WORKING!C11,PERSALDATA!$F$2:$F$20871,"S&amp;W: BASIC SALARY (RES)")</f>
        <v>32</v>
      </c>
      <c r="AC11" s="2">
        <f>SUMIFS(PERSALDATA!$H$2:$H$20871,PERSALDATA!$A$2:$A$20871,WORKING!A11,PERSALDATA!$D$2:$D$20871,WORKING!B11,PERSALDATA!$E$2:$E$20871,WORKING!C11)</f>
        <v>15003976.439999999</v>
      </c>
    </row>
    <row r="12" spans="1:29" x14ac:dyDescent="0.25">
      <c r="A12" s="2">
        <f>Results!$D$3</f>
        <v>29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0.74782161765940769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6.4772433902039073E-2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2.4275339708605074E-2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9.4068552337071912E-3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3.1859868468110286E-2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9.7240342359261545E-2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2.2289742546247895E-2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1.3872118859784027E-4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1.3822060670686284E-3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8.1287286695481216E-4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7.4601112340699549E-2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7.0235144629935589E-2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6.9235144629935616E-2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6.7235144629935614E-2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1.41558910595203E-2</v>
      </c>
      <c r="AB12" s="2">
        <f>SUMIFS(PERSALDATA!$G$2:$G$20871,PERSALDATA!$A$2:$A$20871,WORKING!A12,PERSALDATA!$D$2:$D$20871,WORKING!B12,PERSALDATA!$E$2:$E$20871,WORKING!C12,PERSALDATA!$F$2:$F$20871,"S&amp;W: BASIC SALARY (RES)")</f>
        <v>25</v>
      </c>
      <c r="AC12" s="2">
        <f>SUMIFS(PERSALDATA!$H$2:$H$20871,PERSALDATA!$A$2:$A$20871,WORKING!A12,PERSALDATA!$D$2:$D$20871,WORKING!B12,PERSALDATA!$E$2:$E$20871,WORKING!C12)</f>
        <v>13532251.41</v>
      </c>
    </row>
    <row r="13" spans="1:29" x14ac:dyDescent="0.25">
      <c r="A13" s="2">
        <f>Results!$D$3</f>
        <v>29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0.66236422261743655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4.6890081771204892E-2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1.3932170814903857E-2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4.4129591171844949E-3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1.7885391502299303E-2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8.611856074431419E-2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2.9178248697718078E-2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1.0678441344249098E-4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2.2190522406754852E-3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0.10883923848695816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2.7428883241047867E-2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6.2440635281471764E-4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1.4521134799040313E-2</v>
      </c>
      <c r="AB13" s="2">
        <f>SUMIFS(PERSALDATA!$G$2:$G$20871,PERSALDATA!$A$2:$A$20871,WORKING!A13,PERSALDATA!$D$2:$D$20871,WORKING!B13,PERSALDATA!$E$2:$E$20871,WORKING!C13,PERSALDATA!$F$2:$F$20871,"S&amp;W: BASIC SALARY (RES)")</f>
        <v>30</v>
      </c>
      <c r="AC13" s="2">
        <f>SUMIFS(PERSALDATA!$H$2:$H$20871,PERSALDATA!$A$2:$A$20871,WORKING!A13,PERSALDATA!$D$2:$D$20871,WORKING!B13,PERSALDATA!$E$2:$E$20871,WORKING!C13)</f>
        <v>19218254.179999996</v>
      </c>
    </row>
    <row r="14" spans="1:29" x14ac:dyDescent="0.25">
      <c r="A14" s="2">
        <f>Results!$D$3</f>
        <v>29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0.66193142998235788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4.6684154585239369E-2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1.3706328909462863E-2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5.1545935909742945E-3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1.017624641884695E-2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8.6062871650396749E-2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2.7454878422551336E-2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8.7069351721240514E-5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1.0787459389578804E-2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0.12093487371582325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1.6018375716581098E-2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1.0017182664661818E-3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1.4640455329799533E-2</v>
      </c>
      <c r="AB14" s="2">
        <f>SUMIFS(PERSALDATA!$G$2:$G$20871,PERSALDATA!$A$2:$A$20871,WORKING!A14,PERSALDATA!$D$2:$D$20871,WORKING!B14,PERSALDATA!$E$2:$E$20871,WORKING!C14,PERSALDATA!$F$2:$F$20871,"S&amp;W: BASIC SALARY (RES)")</f>
        <v>15</v>
      </c>
      <c r="AC14" s="2">
        <f>SUMIFS(PERSALDATA!$H$2:$H$20871,PERSALDATA!$A$2:$A$20871,WORKING!A14,PERSALDATA!$D$2:$D$20871,WORKING!B14,PERSALDATA!$E$2:$E$20871,WORKING!C14)</f>
        <v>10981131.49</v>
      </c>
    </row>
    <row r="15" spans="1:29" x14ac:dyDescent="0.25">
      <c r="A15" s="2">
        <f>Results!$D$3</f>
        <v>29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0.62446160769273229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3.4372393208313645E-2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1.3818939567362283E-2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9.1026695462691418E-3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8.1179801109677055E-2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3.4131335707701035E-2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7.3440190821354189E-5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0.18842095779628026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1.4393542428136522E-2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4.5312752706389794E-5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1.4655074260433209E-2</v>
      </c>
      <c r="AB15" s="2">
        <f>SUMIFS(PERSALDATA!$G$2:$G$20871,PERSALDATA!$A$2:$A$20871,WORKING!A15,PERSALDATA!$D$2:$D$20871,WORKING!B15,PERSALDATA!$E$2:$E$20871,WORKING!C15,PERSALDATA!$F$2:$F$20871,"S&amp;W: BASIC SALARY (RES)")</f>
        <v>23</v>
      </c>
      <c r="AC15" s="2">
        <f>SUMIFS(PERSALDATA!$H$2:$H$20871,PERSALDATA!$A$2:$A$20871,WORKING!A15,PERSALDATA!$D$2:$D$20871,WORKING!B15,PERSALDATA!$E$2:$E$20871,WORKING!C15)</f>
        <v>22068842.440000001</v>
      </c>
    </row>
    <row r="16" spans="1:29" x14ac:dyDescent="0.25">
      <c r="A16" s="2">
        <f>Results!$D$3</f>
        <v>29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0.58660186697099648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5.5909082924621142E-2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2.2877979699863845E-3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1.3213913858829807E-2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7.625810358302082E-2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3.5977744215226613E-2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6.043646153547162E-5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0.20585527720971167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2.2655329404571708E-2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1.1804474014998876E-3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1.4766567775644723E-2</v>
      </c>
      <c r="AB16" s="2">
        <f>SUMIFS(PERSALDATA!$G$2:$G$20871,PERSALDATA!$A$2:$A$20871,WORKING!A16,PERSALDATA!$D$2:$D$20871,WORKING!B16,PERSALDATA!$E$2:$E$20871,WORKING!C16,PERSALDATA!$F$2:$F$20871,"S&amp;W: BASIC SALARY (RES)")</f>
        <v>7</v>
      </c>
      <c r="AC16" s="2">
        <f>SUMIFS(PERSALDATA!$H$2:$H$20871,PERSALDATA!$A$2:$A$20871,WORKING!A16,PERSALDATA!$D$2:$D$20871,WORKING!B16,PERSALDATA!$E$2:$E$20871,WORKING!C16)</f>
        <v>7524265.79</v>
      </c>
    </row>
    <row r="17" spans="1:29" x14ac:dyDescent="0.25">
      <c r="A17" s="2">
        <f>Results!$D$3</f>
        <v>29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0.59939194605390322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1.0335449374117442E-2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7.542985103659923E-3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7.7920810940831406E-2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2.9557150027078271E-2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5.1206283536469914E-5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0.2653904828329125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9.8099693839608475E-3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1.4731055388580291E-2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3301743.23</v>
      </c>
    </row>
    <row r="18" spans="1:29" x14ac:dyDescent="0.25">
      <c r="A18" s="2">
        <f>Results!$D$3</f>
        <v>29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0.60688276906816785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2.7309272336886858E-2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7.440484253037654E-3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0.10450790556497022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1.3640887797235699E-5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0.25252337011428799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1.3225577748520547E-3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1.4888188122887473E-2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6838264.5900000017</v>
      </c>
    </row>
    <row r="19" spans="1:29" x14ac:dyDescent="0.25">
      <c r="A19" s="2">
        <f>Results!$D$3</f>
        <v>29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29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0.12996058227600646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0.87003941772399351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228146.1</v>
      </c>
    </row>
    <row r="21" spans="1:29" x14ac:dyDescent="0.25">
      <c r="A21" s="2">
        <f>Results!$D$3</f>
        <v>29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29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0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0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1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0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0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0.09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8.5000000000000006E-2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8.4000000000000005E-2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8.2000000000000003E-2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-3930.5</v>
      </c>
    </row>
    <row r="23" spans="1:29" x14ac:dyDescent="0.25">
      <c r="A23" s="2">
        <f>Results!$D$3</f>
        <v>29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0.70632107198976624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5.9036154656143189E-2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8.0263246226389653E-2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4.3023867675490594E-2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9.1820400254050097E-2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1.909601012633097E-2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4.3924907182936272E-4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7.0502327434251263E-2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6.9842725552868454E-2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6.8842725552868481E-2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6.6842725552868465E-2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1.3144104555394357E-2</v>
      </c>
      <c r="AB23" s="2">
        <f>SUMIFS(PERSALDATA!$G$2:$G$20871,PERSALDATA!$A$2:$A$20871,WORKING!A23,PERSALDATA!$D$2:$D$20871,WORKING!B23,PERSALDATA!$E$2:$E$20871,WORKING!C23,PERSALDATA!$F$2:$F$20871,"S&amp;W: BASIC SALARY (RES)")</f>
        <v>4</v>
      </c>
      <c r="AC23" s="2">
        <f>SUMIFS(PERSALDATA!$H$2:$H$20871,PERSALDATA!$A$2:$A$20871,WORKING!A23,PERSALDATA!$D$2:$D$20871,WORKING!B23,PERSALDATA!$E$2:$E$20871,WORKING!C23)</f>
        <v>650359.93999999994</v>
      </c>
    </row>
    <row r="24" spans="1:29" x14ac:dyDescent="0.25">
      <c r="A24" s="2">
        <f>Results!$D$3</f>
        <v>29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0.69865877860124093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5.6210620825133048E-2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6.4566106204920926E-2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6.80277692181947E-2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9.0824843117679313E-2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1.9792069346460182E-2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3.4886119720016517E-4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1.5709514891708253E-3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7.204536469748074E-2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7.037475547622371E-2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6.9374755476223723E-2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6.7374755476223722E-2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1.3005858950695262E-2</v>
      </c>
      <c r="AB24" s="2">
        <f>SUMIFS(PERSALDATA!$G$2:$G$20871,PERSALDATA!$A$2:$A$20871,WORKING!A24,PERSALDATA!$D$2:$D$20871,WORKING!B24,PERSALDATA!$E$2:$E$20871,WORKING!C24,PERSALDATA!$F$2:$F$20871,"S&amp;W: BASIC SALARY (RES)")</f>
        <v>36</v>
      </c>
      <c r="AC24" s="2">
        <f>SUMIFS(PERSALDATA!$H$2:$H$20871,PERSALDATA!$A$2:$A$20871,WORKING!A24,PERSALDATA!$D$2:$D$20871,WORKING!B24,PERSALDATA!$E$2:$E$20871,WORKING!C24)</f>
        <v>7002125.8299999991</v>
      </c>
    </row>
    <row r="25" spans="1:29" x14ac:dyDescent="0.25">
      <c r="A25" s="2">
        <f>Results!$D$3</f>
        <v>29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0.72160590923314105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6.0116875872683377E-2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4.9731815007449116E-2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4.924703887212431E-2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9.3807824822677174E-2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2.4847236260897201E-2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2.7976327161646596E-4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3.6353665941117776E-4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7.2909840603643597E-2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7.0241387433007368E-2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6.9241387433007368E-2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6.7241387433007366E-2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1.3511120742732152E-2</v>
      </c>
      <c r="AB25" s="2">
        <f>SUMIFS(PERSALDATA!$G$2:$G$20871,PERSALDATA!$A$2:$A$20871,WORKING!A25,PERSALDATA!$D$2:$D$20871,WORKING!B25,PERSALDATA!$E$2:$E$20871,WORKING!C25,PERSALDATA!$F$2:$F$20871,"S&amp;W: BASIC SALARY (RES)")</f>
        <v>11</v>
      </c>
      <c r="AC25" s="2">
        <f>SUMIFS(PERSALDATA!$H$2:$H$20871,PERSALDATA!$A$2:$A$20871,WORKING!A25,PERSALDATA!$D$2:$D$20871,WORKING!B25,PERSALDATA!$E$2:$E$20871,WORKING!C25)</f>
        <v>2750754.22</v>
      </c>
    </row>
    <row r="26" spans="1:29" x14ac:dyDescent="0.25">
      <c r="A26" s="2">
        <f>Results!$D$3</f>
        <v>29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0.74216002976652606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5.5881849544643591E-2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3.5366441857074479E-2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4.622496462145307E-2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9.6480191025810402E-2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2.3205541964842768E-2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2.4476238699974707E-4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4.3621883264970059E-4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7.3959299923562663E-2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7.0339710050751042E-2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6.9339710050751041E-2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6.7339710050751039E-2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1.377245746701709E-2</v>
      </c>
      <c r="AB26" s="2">
        <f>SUMIFS(PERSALDATA!$G$2:$G$20871,PERSALDATA!$A$2:$A$20871,WORKING!A26,PERSALDATA!$D$2:$D$20871,WORKING!B26,PERSALDATA!$E$2:$E$20871,WORKING!C26,PERSALDATA!$F$2:$F$20871,"S&amp;W: BASIC SALARY (RES)")</f>
        <v>49</v>
      </c>
      <c r="AC26" s="2">
        <f>SUMIFS(PERSALDATA!$H$2:$H$20871,PERSALDATA!$A$2:$A$20871,WORKING!A26,PERSALDATA!$D$2:$D$20871,WORKING!B26,PERSALDATA!$E$2:$E$20871,WORKING!C26)</f>
        <v>9169709.5600000005</v>
      </c>
    </row>
    <row r="27" spans="1:29" x14ac:dyDescent="0.25">
      <c r="A27" s="2">
        <f>Results!$D$3</f>
        <v>29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0.75692833178709629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5.0241928408471831E-2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2.7206407756798345E-2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4.156407504357932E-2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9.8400032693414366E-2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2.4688283249950212E-2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2.08856809799108E-4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7.620842508907099E-4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7.4514210061093461E-2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7.0351397048085726E-2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6.9351397048085725E-2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6.7351397048085737E-2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1.3965309905847352E-2</v>
      </c>
      <c r="AB27" s="2">
        <f>SUMIFS(PERSALDATA!$G$2:$G$20871,PERSALDATA!$A$2:$A$20871,WORKING!A27,PERSALDATA!$D$2:$D$20871,WORKING!B27,PERSALDATA!$E$2:$E$20871,WORKING!C27,PERSALDATA!$F$2:$F$20871,"S&amp;W: BASIC SALARY (RES)")</f>
        <v>22</v>
      </c>
      <c r="AC27" s="2">
        <f>SUMIFS(PERSALDATA!$H$2:$H$20871,PERSALDATA!$A$2:$A$20871,WORKING!A27,PERSALDATA!$D$2:$D$20871,WORKING!B27,PERSALDATA!$E$2:$E$20871,WORKING!C27)</f>
        <v>2624381.7499999995</v>
      </c>
    </row>
    <row r="28" spans="1:29" x14ac:dyDescent="0.25">
      <c r="A28" s="2">
        <f>Results!$D$3</f>
        <v>29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0.76997022058695241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6.3876871385202635E-2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2.0691181827530703E-2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3.4119247940219671E-2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0.10009561011952468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1.106815763678543E-2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1.7871050378445036E-4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7.4905139652270733E-2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7.0304876900827984E-2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6.9304876900827997E-2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6.7304876900827995E-2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1.4175162895926978E-2</v>
      </c>
      <c r="AB28" s="2">
        <f>SUMIFS(PERSALDATA!$G$2:$G$20871,PERSALDATA!$A$2:$A$20871,WORKING!A28,PERSALDATA!$D$2:$D$20871,WORKING!B28,PERSALDATA!$E$2:$E$20871,WORKING!C28,PERSALDATA!$F$2:$F$20871,"S&amp;W: BASIC SALARY (RES)")</f>
        <v>5</v>
      </c>
      <c r="AC28" s="2">
        <f>SUMIFS(PERSALDATA!$H$2:$H$20871,PERSALDATA!$A$2:$A$20871,WORKING!A28,PERSALDATA!$D$2:$D$20871,WORKING!B28,PERSALDATA!$E$2:$E$20871,WORKING!C28)</f>
        <v>1957355.57</v>
      </c>
    </row>
    <row r="29" spans="1:29" x14ac:dyDescent="0.25">
      <c r="A29" s="2">
        <f>Results!$D$3</f>
        <v>29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0.75921020593038957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5.9570501431902463E-2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1.6119457812065689E-2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2.783811207285234E-2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9.8522502821961067E-2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2.298215079557521E-2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1.3186842821227965E-4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5.3143881327203683E-3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9.803040421019928E-3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5.077721533010384E-4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7.516465477530293E-2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7.025637710297214E-2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6.9256377102972125E-2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6.7256377102972137E-2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1.4338658425303045E-2</v>
      </c>
      <c r="AB29" s="2">
        <f>SUMIFS(PERSALDATA!$G$2:$G$20871,PERSALDATA!$A$2:$A$20871,WORKING!A29,PERSALDATA!$D$2:$D$20871,WORKING!B29,PERSALDATA!$E$2:$E$20871,WORKING!C29,PERSALDATA!$F$2:$F$20871,"S&amp;W: BASIC SALARY (RES)")</f>
        <v>42</v>
      </c>
      <c r="AC29" s="2">
        <f>SUMIFS(PERSALDATA!$H$2:$H$20871,PERSALDATA!$A$2:$A$20871,WORKING!A29,PERSALDATA!$D$2:$D$20871,WORKING!B29,PERSALDATA!$E$2:$E$20871,WORKING!C29)</f>
        <v>21663259.650000002</v>
      </c>
    </row>
    <row r="30" spans="1:29" x14ac:dyDescent="0.25">
      <c r="A30" s="2">
        <f>Results!$D$3</f>
        <v>29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0.68218236404753763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4.2840735265474626E-2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5.7649950224442272E-3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1.4771409840949037E-2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7.2102234004276108E-2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2.665374056613621E-2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1.1200991576963625E-4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2.5754112896662039E-3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0.14458514338211767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7.8973651255893808E-3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2.4206133135423581E-4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2.7253020868524632E-4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1.4690273778312559E-2</v>
      </c>
      <c r="AB30" s="2">
        <f>SUMIFS(PERSALDATA!$G$2:$G$20871,PERSALDATA!$A$2:$A$20871,WORKING!A30,PERSALDATA!$D$2:$D$20871,WORKING!B30,PERSALDATA!$E$2:$E$20871,WORKING!C30,PERSALDATA!$F$2:$F$20871,"S&amp;W: BASIC SALARY (RES)")</f>
        <v>54</v>
      </c>
      <c r="AC30" s="2">
        <f>SUMIFS(PERSALDATA!$H$2:$H$20871,PERSALDATA!$A$2:$A$20871,WORKING!A30,PERSALDATA!$D$2:$D$20871,WORKING!B30,PERSALDATA!$E$2:$E$20871,WORKING!C30)</f>
        <v>36693179.98999998</v>
      </c>
    </row>
    <row r="31" spans="1:29" x14ac:dyDescent="0.25">
      <c r="A31" s="2">
        <f>Results!$D$3</f>
        <v>29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0.69941230016444644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4.8753250755234658E-2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5.0607777441059416E-3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1.4579773240461533E-2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8.951303348016075E-2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2.7128326868873044E-2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9.3445592104414216E-5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2.7570312567162213E-3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0.10821092481507068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4.3853395375329854E-3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1.0579654529331957E-4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1.4703990051349919E-2</v>
      </c>
      <c r="AB31" s="2">
        <f>SUMIFS(PERSALDATA!$G$2:$G$20871,PERSALDATA!$A$2:$A$20871,WORKING!A31,PERSALDATA!$D$2:$D$20871,WORKING!B31,PERSALDATA!$E$2:$E$20871,WORKING!C31,PERSALDATA!$F$2:$F$20871,"S&amp;W: BASIC SALARY (RES)")</f>
        <v>48</v>
      </c>
      <c r="AC31" s="2">
        <f>SUMIFS(PERSALDATA!$H$2:$H$20871,PERSALDATA!$A$2:$A$20871,WORKING!A31,PERSALDATA!$D$2:$D$20871,WORKING!B31,PERSALDATA!$E$2:$E$20871,WORKING!C31)</f>
        <v>37808417.929999992</v>
      </c>
    </row>
    <row r="32" spans="1:29" x14ac:dyDescent="0.25">
      <c r="A32" s="2">
        <f>Results!$D$3</f>
        <v>29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0.58628816354991042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3.5922805419617843E-2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2.8987416236322682E-2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1.8113406456861495E-2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7.6217248445661925E-2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5.0813789930915912E-2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7.1346109040454377E-5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0.20358582385166932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1.4292417467966631E-2</v>
      </c>
      <c r="AB32" s="2">
        <f>SUMIFS(PERSALDATA!$G$2:$G$20871,PERSALDATA!$A$2:$A$20871,WORKING!A32,PERSALDATA!$D$2:$D$20871,WORKING!B32,PERSALDATA!$E$2:$E$20871,WORKING!C32,PERSALDATA!$F$2:$F$20871,"S&amp;W: BASIC SALARY (RES)")</f>
        <v>16</v>
      </c>
      <c r="AC32" s="2">
        <f>SUMIFS(PERSALDATA!$H$2:$H$20871,PERSALDATA!$A$2:$A$20871,WORKING!A32,PERSALDATA!$D$2:$D$20871,WORKING!B32,PERSALDATA!$E$2:$E$20871,WORKING!C32)</f>
        <v>15689152.709999999</v>
      </c>
    </row>
    <row r="33" spans="1:29" x14ac:dyDescent="0.25">
      <c r="A33" s="2">
        <f>Results!$D$3</f>
        <v>29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0.58431677773045076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3.1315779116180283E-2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3.9774436599204883E-2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5.0834872493174333E-3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7.5961012368555236E-2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2.5911193480340312E-2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5.9872183158627559E-5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0.23757744127279246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1.4326233059524785E-2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3505467.63</v>
      </c>
    </row>
    <row r="34" spans="1:29" x14ac:dyDescent="0.25">
      <c r="A34" s="2">
        <f>Results!$D$3</f>
        <v>29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0.54061204110683614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2.5400779386221956E-2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9.8391615223977196E-3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7.0279425299823034E-2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7.0330129778868461E-2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4.5889849340462972E-5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0.25488845785344327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2.8604115203068981E-2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1.4470712538630599E-2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1524520.15</v>
      </c>
    </row>
    <row r="35" spans="1:29" x14ac:dyDescent="0.25">
      <c r="A35" s="2">
        <f>Results!$D$3</f>
        <v>29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29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29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1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1222436.1599999999</v>
      </c>
    </row>
    <row r="38" spans="1:29" x14ac:dyDescent="0.25">
      <c r="A38" s="2">
        <f>Results!$D$3</f>
        <v>29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29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0.62304798464252142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5.1785802721958978E-2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7.4198809146115235E-2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0.1491546993173106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8.0995205841615778E-2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2.0408762213323599E-2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4.087361171545057E-4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7.2449056295337586E-2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7.1495332398298514E-2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7.0495332398298527E-2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6.8495332398298511E-2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1.1643566331291296E-2</v>
      </c>
      <c r="AB39" s="2">
        <f>SUMIFS(PERSALDATA!$G$2:$G$20871,PERSALDATA!$A$2:$A$20871,WORKING!A39,PERSALDATA!$D$2:$D$20871,WORKING!B39,PERSALDATA!$E$2:$E$20871,WORKING!C39,PERSALDATA!$F$2:$F$20871,"S&amp;W: BASIC SALARY (RES)")</f>
        <v>3</v>
      </c>
      <c r="AC39" s="2">
        <f>SUMIFS(PERSALDATA!$H$2:$H$20871,PERSALDATA!$A$2:$A$20871,WORKING!A39,PERSALDATA!$D$2:$D$20871,WORKING!B39,PERSALDATA!$E$2:$E$20871,WORKING!C39)</f>
        <v>513485.32999999996</v>
      </c>
    </row>
    <row r="40" spans="1:29" x14ac:dyDescent="0.25">
      <c r="A40" s="2">
        <f>Results!$D$3</f>
        <v>29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0.65642093336701546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5.7015073350884959E-2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7.2690248092918103E-2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0.10915193352205139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8.5333762230271892E-2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1.8997486202344614E-2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3.9056323451338855E-4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7.2003668214246933E-2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7.0910376521901575E-2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6.9910376521901574E-2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6.7910376521901572E-2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1.2266508827257753E-2</v>
      </c>
      <c r="AB40" s="2">
        <f>SUMIFS(PERSALDATA!$G$2:$G$20871,PERSALDATA!$A$2:$A$20871,WORKING!A40,PERSALDATA!$D$2:$D$20871,WORKING!B40,PERSALDATA!$E$2:$E$20871,WORKING!C40,PERSALDATA!$F$2:$F$20871,"S&amp;W: BASIC SALARY (RES)")</f>
        <v>6</v>
      </c>
      <c r="AC40" s="2">
        <f>SUMIFS(PERSALDATA!$H$2:$H$20871,PERSALDATA!$A$2:$A$20871,WORKING!A40,PERSALDATA!$D$2:$D$20871,WORKING!B40,PERSALDATA!$E$2:$E$20871,WORKING!C40)</f>
        <v>1089554.6800000002</v>
      </c>
    </row>
    <row r="41" spans="1:29" x14ac:dyDescent="0.25">
      <c r="A41" s="2">
        <f>Results!$D$3</f>
        <v>29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0.68536250043550639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5.6916294650554082E-2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6.1717921828092888E-2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2.4097772529364037E-3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7.9519159054576294E-2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8.9179300289228117E-2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2.0972303507197074E-2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3.5074361921932679E-4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3.3005924944922121E-3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2.7140686819741817E-4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7.2422706167829032E-2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7.0575608167537732E-2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6.9575608167537759E-2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6.7575608167537729E-2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1.2876182632471674E-2</v>
      </c>
      <c r="AB41" s="2">
        <f>SUMIFS(PERSALDATA!$G$2:$G$20871,PERSALDATA!$A$2:$A$20871,WORKING!A41,PERSALDATA!$D$2:$D$20871,WORKING!B41,PERSALDATA!$E$2:$E$20871,WORKING!C41,PERSALDATA!$F$2:$F$20871,"S&amp;W: BASIC SALARY (RES)")</f>
        <v>56</v>
      </c>
      <c r="AC41" s="2">
        <f>SUMIFS(PERSALDATA!$H$2:$H$20871,PERSALDATA!$A$2:$A$20871,WORKING!A41,PERSALDATA!$D$2:$D$20871,WORKING!B41,PERSALDATA!$E$2:$E$20871,WORKING!C41)</f>
        <v>11053515.409999998</v>
      </c>
    </row>
    <row r="42" spans="1:29" x14ac:dyDescent="0.25">
      <c r="A42" s="2">
        <f>Results!$D$3</f>
        <v>29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0.68483384343119735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5.7864311811386245E-2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4.9359510503222001E-2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1.7393954000408914E-3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7.9781000267216351E-2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8.9027637493469952E-2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2.2213618218339087E-2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2.7703275065026989E-4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3.3039564385422553E-3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1.1377653602700046E-2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2.2204008323536663E-4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7.3365611205496117E-2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7.0703119898976013E-2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6.9703119898976013E-2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6.7703119898976011E-2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1.3058736847183667E-2</v>
      </c>
      <c r="AB42" s="2">
        <f>SUMIFS(PERSALDATA!$G$2:$G$20871,PERSALDATA!$A$2:$A$20871,WORKING!A42,PERSALDATA!$D$2:$D$20871,WORKING!B42,PERSALDATA!$E$2:$E$20871,WORKING!C42,PERSALDATA!$F$2:$F$20871,"S&amp;W: BASIC SALARY (RES)")</f>
        <v>18</v>
      </c>
      <c r="AC42" s="2">
        <f>SUMIFS(PERSALDATA!$H$2:$H$20871,PERSALDATA!$A$2:$A$20871,WORKING!A42,PERSALDATA!$D$2:$D$20871,WORKING!B42,PERSALDATA!$E$2:$E$20871,WORKING!C42)</f>
        <v>4503691.3400000008</v>
      </c>
    </row>
    <row r="43" spans="1:29" x14ac:dyDescent="0.25">
      <c r="A43" s="2">
        <f>Results!$D$3</f>
        <v>29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0.73690598954004061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5.4247580236404198E-2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4.1161350912255958E-2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1.1138681621367585E-3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4.9245503613938021E-2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9.5853569433682159E-2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1.6642227653106752E-2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2.4560662419562584E-4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1.5033742228685368E-3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1.1619307504166399E-3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5.5192499819241758E-4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1.3670738527621243E-3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7.3561174381263666E-2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7.0327069045086496E-2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6.9327069045086509E-2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6.7327069045086493E-2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1.3640213082744154E-2</v>
      </c>
      <c r="AB43" s="2">
        <f>SUMIFS(PERSALDATA!$G$2:$G$20871,PERSALDATA!$A$2:$A$20871,WORKING!A43,PERSALDATA!$D$2:$D$20871,WORKING!B43,PERSALDATA!$E$2:$E$20871,WORKING!C43,PERSALDATA!$F$2:$F$20871,"S&amp;W: BASIC SALARY (RES)")</f>
        <v>56</v>
      </c>
      <c r="AC43" s="2">
        <f>SUMIFS(PERSALDATA!$H$2:$H$20871,PERSALDATA!$A$2:$A$20871,WORKING!A43,PERSALDATA!$D$2:$D$20871,WORKING!B43,PERSALDATA!$E$2:$E$20871,WORKING!C43)</f>
        <v>16092766.280000001</v>
      </c>
    </row>
    <row r="44" spans="1:29" x14ac:dyDescent="0.25">
      <c r="A44" s="2">
        <f>Results!$D$3</f>
        <v>29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0.71724231277436046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5.7916645075465997E-2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3.4950269276893216E-2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1.7683076876419579E-3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4.314451298629457E-2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9.3252500492534626E-2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1.9072551193250659E-2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1.9469250349995923E-4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2.4367225881141669E-2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7.4907681155526014E-3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4.8446548123343781E-4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1.1574853213079389E-4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7.3947802716764252E-2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7.02976650020255E-2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6.9297665002025485E-2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6.7297665002025484E-2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1.3825657878499681E-2</v>
      </c>
      <c r="AB44" s="2">
        <f>SUMIFS(PERSALDATA!$G$2:$G$20871,PERSALDATA!$A$2:$A$20871,WORKING!A44,PERSALDATA!$D$2:$D$20871,WORKING!B44,PERSALDATA!$E$2:$E$20871,WORKING!C44,PERSALDATA!$F$2:$F$20871,"S&amp;W: BASIC SALARY (RES)")</f>
        <v>46</v>
      </c>
      <c r="AC44" s="2">
        <f>SUMIFS(PERSALDATA!$H$2:$H$20871,PERSALDATA!$A$2:$A$20871,WORKING!A44,PERSALDATA!$D$2:$D$20871,WORKING!B44,PERSALDATA!$E$2:$E$20871,WORKING!C44)</f>
        <v>17278836.830000002</v>
      </c>
    </row>
    <row r="45" spans="1:29" x14ac:dyDescent="0.25">
      <c r="A45" s="2">
        <f>Results!$D$3</f>
        <v>29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0.73344160747866483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5.6274389696425176E-2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3.2028948871851606E-2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3.9122277942415518E-2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9.5386867089944344E-2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2.7141071328914763E-2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1.6416151495207576E-4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1.6440676076831674E-2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7.411351177693308E-2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7.0266544680417722E-2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6.9266544680417722E-2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6.7266544680417734E-2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1.393026917506171E-2</v>
      </c>
      <c r="AB45" s="2">
        <f>SUMIFS(PERSALDATA!$G$2:$G$20871,PERSALDATA!$A$2:$A$20871,WORKING!A45,PERSALDATA!$D$2:$D$20871,WORKING!B45,PERSALDATA!$E$2:$E$20871,WORKING!C45,PERSALDATA!$F$2:$F$20871,"S&amp;W: BASIC SALARY (RES)")</f>
        <v>8</v>
      </c>
      <c r="AC45" s="2">
        <f>SUMIFS(PERSALDATA!$H$2:$H$20871,PERSALDATA!$A$2:$A$20871,WORKING!A45,PERSALDATA!$D$2:$D$20871,WORKING!B45,PERSALDATA!$E$2:$E$20871,WORKING!C45)</f>
        <v>3231451.6599999997</v>
      </c>
    </row>
    <row r="46" spans="1:29" x14ac:dyDescent="0.25">
      <c r="A46" s="2">
        <f>Results!$D$3</f>
        <v>29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0.7333752848365519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6.1485606167493358E-2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2.4740329135493282E-2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1.0360969890026626E-4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3.6294556130539751E-2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9.5369124299979929E-2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2.2890683271962739E-2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1.3430743857912217E-4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2.162760750776923E-2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3.460423933580765E-3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2.8236355195334972E-4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2.3610402719625491E-4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7.4627858771530053E-2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7.0297015050603165E-2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6.9297015050603164E-2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6.7297015050603162E-2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1.4082462109430816E-2</v>
      </c>
      <c r="AB46" s="2">
        <f>SUMIFS(PERSALDATA!$G$2:$G$20871,PERSALDATA!$A$2:$A$20871,WORKING!A46,PERSALDATA!$D$2:$D$20871,WORKING!B46,PERSALDATA!$E$2:$E$20871,WORKING!C46,PERSALDATA!$F$2:$F$20871,"S&amp;W: BASIC SALARY (RES)")</f>
        <v>116</v>
      </c>
      <c r="AC46" s="2">
        <f>SUMIFS(PERSALDATA!$H$2:$H$20871,PERSALDATA!$A$2:$A$20871,WORKING!A46,PERSALDATA!$D$2:$D$20871,WORKING!B46,PERSALDATA!$E$2:$E$20871,WORKING!C46)</f>
        <v>59295896.669999994</v>
      </c>
    </row>
    <row r="47" spans="1:29" x14ac:dyDescent="0.25">
      <c r="A47" s="2">
        <f>Results!$D$3</f>
        <v>29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0.68428982177085096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5.4025488616426448E-2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6.2742385166465863E-3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7.4625675366858343E-4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1.995766211440295E-2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8.8957358577910733E-2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3.128467568303149E-2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1.0708082714300232E-4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4.6968949535616342E-3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0.10951358451617849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1.4693767017907695E-4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1.4604915278127109E-2</v>
      </c>
      <c r="AB47" s="2">
        <f>SUMIFS(PERSALDATA!$G$2:$G$20871,PERSALDATA!$A$2:$A$20871,WORKING!A47,PERSALDATA!$D$2:$D$20871,WORKING!B47,PERSALDATA!$E$2:$E$20871,WORKING!C47,PERSALDATA!$F$2:$F$20871,"S&amp;W: BASIC SALARY (RES)")</f>
        <v>10</v>
      </c>
      <c r="AC47" s="2">
        <f>SUMIFS(PERSALDATA!$H$2:$H$20871,PERSALDATA!$A$2:$A$20871,WORKING!A47,PERSALDATA!$D$2:$D$20871,WORKING!B47,PERSALDATA!$E$2:$E$20871,WORKING!C47)</f>
        <v>6805606.7500000009</v>
      </c>
    </row>
    <row r="48" spans="1:29" x14ac:dyDescent="0.25">
      <c r="A48" s="2">
        <f>Results!$D$3</f>
        <v>29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0.70285087539848501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4.9206756213939044E-2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1.0239635205201929E-2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1.5285001757930138E-2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9.1401099950631906E-2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2.7079126591902283E-2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8.8374066929138207E-5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3.6419924332943138E-3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9.940226216684557E-2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8.0487621484058548E-4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1.4615804834549079E-2</v>
      </c>
      <c r="AB48" s="2">
        <f>SUMIFS(PERSALDATA!$G$2:$G$20871,PERSALDATA!$A$2:$A$20871,WORKING!A48,PERSALDATA!$D$2:$D$20871,WORKING!B48,PERSALDATA!$E$2:$E$20871,WORKING!C48,PERSALDATA!$F$2:$F$20871,"S&amp;W: BASIC SALARY (RES)")</f>
        <v>29</v>
      </c>
      <c r="AC48" s="2">
        <f>SUMIFS(PERSALDATA!$H$2:$H$20871,PERSALDATA!$A$2:$A$20871,WORKING!A48,PERSALDATA!$D$2:$D$20871,WORKING!B48,PERSALDATA!$E$2:$E$20871,WORKING!C48)</f>
        <v>22363687.320000004</v>
      </c>
    </row>
    <row r="49" spans="1:29" x14ac:dyDescent="0.25">
      <c r="A49" s="2">
        <f>Results!$D$3</f>
        <v>29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0.59514278073491911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4.1733623676501595E-2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9.1220788334271958E-3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1.7040026308806175E-2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7.7368360056695271E-2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4.5471884262198004E-2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7.1377488621252039E-5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0.2063179681869996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7.7319004518317152E-3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1.4606497760537178E-2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12741832.439999999</v>
      </c>
    </row>
    <row r="50" spans="1:29" x14ac:dyDescent="0.25">
      <c r="A50" s="2">
        <f>Results!$D$3</f>
        <v>29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0.56065531255248513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5.7395939809976669E-2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4.3351915880283989E-2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3.7046182661333591E-3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7.2885070297414131E-2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8.64392865466167E-2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5.7441288541376279E-5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0.17551041535854864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1.4293290368475618E-2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3044848.13</v>
      </c>
    </row>
    <row r="51" spans="1:29" x14ac:dyDescent="0.25">
      <c r="A51" s="2">
        <f>Results!$D$3</f>
        <v>29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0.5997697318734454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5.0312307484969024E-2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7.7969926000343429E-2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5.2476865679529007E-5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0.27189555777556262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1.4999212847014807E-2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1333158.8900000001</v>
      </c>
    </row>
    <row r="52" spans="1:29" x14ac:dyDescent="0.25">
      <c r="A52" s="2">
        <f>Results!$D$3</f>
        <v>29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29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29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5.6232298941974916E-3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0.9943767701058025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531274.74</v>
      </c>
    </row>
    <row r="55" spans="1:29" x14ac:dyDescent="0.25">
      <c r="A55" s="2">
        <f>Results!$D$3</f>
        <v>29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29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29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0.73145019481563134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6.1180445462242924E-2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8.5591441616651151E-2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0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9.5087843764552524E-2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2.6246520470144283E-2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4.4355387077784551E-4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6.9495050437134512E-2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6.9144085583833503E-2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6.8144085583833502E-2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6.6144085583833487E-2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1.3709475067688565E-2</v>
      </c>
      <c r="AB57" s="2">
        <f>SUMIFS(PERSALDATA!$G$2:$G$20871,PERSALDATA!$A$2:$A$20871,WORKING!A57,PERSALDATA!$D$2:$D$20871,WORKING!B57,PERSALDATA!$E$2:$E$20871,WORKING!C57,PERSALDATA!$F$2:$F$20871,"S&amp;W: BASIC SALARY (RES)")</f>
        <v>1</v>
      </c>
      <c r="AC57" s="2">
        <f>SUMIFS(PERSALDATA!$H$2:$H$20871,PERSALDATA!$A$2:$A$20871,WORKING!A57,PERSALDATA!$D$2:$D$20871,WORKING!B57,PERSALDATA!$E$2:$E$20871,WORKING!C57)</f>
        <v>157726.04999999999</v>
      </c>
    </row>
    <row r="58" spans="1:29" x14ac:dyDescent="0.25">
      <c r="A58" s="2">
        <f>Results!$D$3</f>
        <v>29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0.67795191867322868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5.6463840793866009E-2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6.3135678573253917E-2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8.7466632459822807E-2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8.8133004493322828E-2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1.9840717702342331E-2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3.2718311651739587E-4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6.6810241876459169E-3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7.2426221282870212E-2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7.0680642701164795E-2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6.9680642701164808E-2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6.7680642701164792E-2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1.2736057587756087E-2</v>
      </c>
      <c r="AB58" s="2">
        <f>SUMIFS(PERSALDATA!$G$2:$G$20871,PERSALDATA!$A$2:$A$20871,WORKING!A58,PERSALDATA!$D$2:$D$20871,WORKING!B58,PERSALDATA!$E$2:$E$20871,WORKING!C58,PERSALDATA!$F$2:$F$20871,"S&amp;W: BASIC SALARY (RES)")</f>
        <v>7</v>
      </c>
      <c r="AC58" s="2">
        <f>SUMIFS(PERSALDATA!$H$2:$H$20871,PERSALDATA!$A$2:$A$20871,WORKING!A58,PERSALDATA!$D$2:$D$20871,WORKING!B58,PERSALDATA!$E$2:$E$20871,WORKING!C58)</f>
        <v>1496776.5000000002</v>
      </c>
    </row>
    <row r="59" spans="1:29" x14ac:dyDescent="0.25">
      <c r="A59" s="2">
        <f>Results!$D$3</f>
        <v>29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0.69236968024986456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5.5431556405231751E-2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5.3483899007676229E-2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8.9366994476320946E-2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9.0007190996485922E-2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1.1393335699149196E-2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2.7940065521035159E-4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7.6679425100611084E-3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7.3186361598085101E-2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7.0805665927068079E-2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6.9805665927068064E-2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6.7805665927068048E-2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1.2853045587911886E-2</v>
      </c>
      <c r="AB59" s="2">
        <f>SUMIFS(PERSALDATA!$G$2:$G$20871,PERSALDATA!$A$2:$A$20871,WORKING!A59,PERSALDATA!$D$2:$D$20871,WORKING!B59,PERSALDATA!$E$2:$E$20871,WORKING!C59,PERSALDATA!$F$2:$F$20871,"S&amp;W: BASIC SALARY (RES)")</f>
        <v>4</v>
      </c>
      <c r="AC59" s="2">
        <f>SUMIFS(PERSALDATA!$H$2:$H$20871,PERSALDATA!$A$2:$A$20871,WORKING!A59,PERSALDATA!$D$2:$D$20871,WORKING!B59,PERSALDATA!$E$2:$E$20871,WORKING!C59)</f>
        <v>1043304.6399999999</v>
      </c>
    </row>
    <row r="60" spans="1:29" x14ac:dyDescent="0.25">
      <c r="A60" s="2">
        <f>Results!$D$3</f>
        <v>29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0.71053279961571469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6.7126995739259246E-2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4.1549281224007042E-2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6.0432003153033695E-2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9.2386391226343359E-2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2.3633231160215214E-2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2.253208778404222E-4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2.0434148163434693E-3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2.0705621872428759E-3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7.368830267111795E-2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7.0490987235055452E-2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6.9490987235055438E-2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6.749098723505545E-2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1.3466900921176783E-2</v>
      </c>
      <c r="AB60" s="2">
        <f>SUMIFS(PERSALDATA!$G$2:$G$20871,PERSALDATA!$A$2:$A$20871,WORKING!A60,PERSALDATA!$D$2:$D$20871,WORKING!B60,PERSALDATA!$E$2:$E$20871,WORKING!C60,PERSALDATA!$F$2:$F$20871,"S&amp;W: BASIC SALARY (RES)")</f>
        <v>14</v>
      </c>
      <c r="AC60" s="2">
        <f>SUMIFS(PERSALDATA!$H$2:$H$20871,PERSALDATA!$A$2:$A$20871,WORKING!A60,PERSALDATA!$D$2:$D$20871,WORKING!B60,PERSALDATA!$E$2:$E$20871,WORKING!C60)</f>
        <v>4346645.59</v>
      </c>
    </row>
    <row r="61" spans="1:29" x14ac:dyDescent="0.25">
      <c r="A61" s="2">
        <f>Results!$D$3</f>
        <v>29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0.7336829357495841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6.235303093750879E-2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3.7930651961157739E-2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5.0941148121279617E-2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9.537810532343749E-2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1.7163358665287457E-2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1.9629053527931467E-4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2.3544787064654089E-3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7.3830446524649915E-2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7.0384810702207617E-2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6.938481070220763E-2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6.7384810702207615E-2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1.3663978640734247E-2</v>
      </c>
      <c r="AB61" s="2">
        <f>SUMIFS(PERSALDATA!$G$2:$G$20871,PERSALDATA!$A$2:$A$20871,WORKING!A61,PERSALDATA!$D$2:$D$20871,WORKING!B61,PERSALDATA!$E$2:$E$20871,WORKING!C61,PERSALDATA!$F$2:$F$20871,"S&amp;W: BASIC SALARY (RES)")</f>
        <v>12</v>
      </c>
      <c r="AC61" s="2">
        <f>SUMIFS(PERSALDATA!$H$2:$H$20871,PERSALDATA!$A$2:$A$20871,WORKING!A61,PERSALDATA!$D$2:$D$20871,WORKING!B61,PERSALDATA!$E$2:$E$20871,WORKING!C61)</f>
        <v>4247224.6500000004</v>
      </c>
    </row>
    <row r="62" spans="1:29" x14ac:dyDescent="0.25">
      <c r="A62" s="2">
        <f>Results!$D$3</f>
        <v>29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0.7637252363641488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5.502357476997647E-2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3.2080507732534617E-2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2.7003190773427912E-2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9.9283856132384066E-2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2.2712496250983802E-2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1.7113797654441017E-4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7.3939926083155375E-2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7.0084242784276093E-2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6.9084242784276079E-2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6.7084242784276091E-2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1.4111177452762398E-2</v>
      </c>
      <c r="AB62" s="2">
        <f>SUMIFS(PERSALDATA!$G$2:$G$20871,PERSALDATA!$A$2:$A$20871,WORKING!A62,PERSALDATA!$D$2:$D$20871,WORKING!B62,PERSALDATA!$E$2:$E$20871,WORKING!C62,PERSALDATA!$F$2:$F$20871,"S&amp;W: BASIC SALARY (RES)")</f>
        <v>2</v>
      </c>
      <c r="AC62" s="2">
        <f>SUMIFS(PERSALDATA!$H$2:$H$20871,PERSALDATA!$A$2:$A$20871,WORKING!A62,PERSALDATA!$D$2:$D$20871,WORKING!B62,PERSALDATA!$E$2:$E$20871,WORKING!C62)</f>
        <v>953850.24</v>
      </c>
    </row>
    <row r="63" spans="1:29" x14ac:dyDescent="0.25">
      <c r="A63" s="2">
        <f>Results!$D$3</f>
        <v>29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0.75257980373742273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6.3813168075297369E-2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2.3023542128835294E-2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7.6900038878024185E-5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2.8096701014226771E-2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9.7834994476160966E-2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1.5865262369953264E-2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1.3500260340091233E-4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1.8496394016141188E-2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7.8231539683436277E-5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7.4643564612407676E-2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7.0191215093925036E-2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6.9191215093925063E-2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6.7191215093925061E-2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1.4231171313803056E-2</v>
      </c>
      <c r="AB63" s="2">
        <f>SUMIFS(PERSALDATA!$G$2:$G$20871,PERSALDATA!$A$2:$A$20871,WORKING!A63,PERSALDATA!$D$2:$D$20871,WORKING!B63,PERSALDATA!$E$2:$E$20871,WORKING!C63,PERSALDATA!$F$2:$F$20871,"S&amp;W: BASIC SALARY (RES)")</f>
        <v>25</v>
      </c>
      <c r="AC63" s="2">
        <f>SUMIFS(PERSALDATA!$H$2:$H$20871,PERSALDATA!$A$2:$A$20871,WORKING!A63,PERSALDATA!$D$2:$D$20871,WORKING!B63,PERSALDATA!$E$2:$E$20871,WORKING!C63)</f>
        <v>12782568.310000001</v>
      </c>
    </row>
    <row r="64" spans="1:29" x14ac:dyDescent="0.25">
      <c r="A64" s="2">
        <f>Results!$D$3</f>
        <v>29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0.68865420461182358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5.5119352915073423E-2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5.3453018803314035E-3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2.3989273882144207E-2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8.972588623098969E-2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3.1610989173074519E-2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1.0818844979998581E-4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1.118025880132201E-3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0.1043287769766308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1.4558358536815865E-2</v>
      </c>
      <c r="AB64" s="2">
        <f>SUMIFS(PERSALDATA!$G$2:$G$20871,PERSALDATA!$A$2:$A$20871,WORKING!A64,PERSALDATA!$D$2:$D$20871,WORKING!B64,PERSALDATA!$E$2:$E$20871,WORKING!C64,PERSALDATA!$F$2:$F$20871,"S&amp;W: BASIC SALARY (RES)")</f>
        <v>8</v>
      </c>
      <c r="AC64" s="2">
        <f>SUMIFS(PERSALDATA!$H$2:$H$20871,PERSALDATA!$A$2:$A$20871,WORKING!A64,PERSALDATA!$D$2:$D$20871,WORKING!B64,PERSALDATA!$E$2:$E$20871,WORKING!C64)</f>
        <v>5388283.1400000006</v>
      </c>
    </row>
    <row r="65" spans="1:29" x14ac:dyDescent="0.25">
      <c r="A65" s="2">
        <f>Results!$D$3</f>
        <v>29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0.68813963455869931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4.2178288232967938E-2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1.5267943069162329E-2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1.3999387954978298E-2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8.9891774631175286E-2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2.5046791863084089E-2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9.1459575021097557E-5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1.259158327221746E-3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0.11849227422816509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4.2600393772435552E-3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1.3176195594879398E-3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5.5628622793546393E-5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1.455961814101258E-2</v>
      </c>
      <c r="AB65" s="2">
        <f>SUMIFS(PERSALDATA!$G$2:$G$20871,PERSALDATA!$A$2:$A$20871,WORKING!A65,PERSALDATA!$D$2:$D$20871,WORKING!B65,PERSALDATA!$E$2:$E$20871,WORKING!C65,PERSALDATA!$F$2:$F$20871,"S&amp;W: BASIC SALARY (RES)")</f>
        <v>24</v>
      </c>
      <c r="AC65" s="2">
        <f>SUMIFS(PERSALDATA!$H$2:$H$20871,PERSALDATA!$A$2:$A$20871,WORKING!A65,PERSALDATA!$D$2:$D$20871,WORKING!B65,PERSALDATA!$E$2:$E$20871,WORKING!C65)</f>
        <v>17976357.309999995</v>
      </c>
    </row>
    <row r="66" spans="1:29" x14ac:dyDescent="0.25">
      <c r="A66" s="2">
        <f>Results!$D$3</f>
        <v>29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0.6456314709749138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4.5238556039305204E-2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2.5832780509932977E-2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1.0813172315995356E-2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8.3931882092804944E-2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9.208432200238181E-3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7.6794563855650102E-5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0.16731704865967997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1.1949862643273825E-2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1.4449158789153241E-2</v>
      </c>
      <c r="AB66" s="2">
        <f>SUMIFS(PERSALDATA!$G$2:$G$20871,PERSALDATA!$A$2:$A$20871,WORKING!A66,PERSALDATA!$D$2:$D$20871,WORKING!B66,PERSALDATA!$E$2:$E$20871,WORKING!C66,PERSALDATA!$F$2:$F$20871,"S&amp;W: BASIC SALARY (RES)")</f>
        <v>9</v>
      </c>
      <c r="AC66" s="2">
        <f>SUMIFS(PERSALDATA!$H$2:$H$20871,PERSALDATA!$A$2:$A$20871,WORKING!A66,PERSALDATA!$D$2:$D$20871,WORKING!B66,PERSALDATA!$E$2:$E$20871,WORKING!C66)</f>
        <v>8502685.1800000016</v>
      </c>
    </row>
    <row r="67" spans="1:29" x14ac:dyDescent="0.25">
      <c r="A67" s="2">
        <f>Results!$D$3</f>
        <v>29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0.62527342777060857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5.8668490691276019E-2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1.6318266990169388E-3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8.1285367444781292E-2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6.5430190201298168E-5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0.23307545720411588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1.4974541146661727E-2</v>
      </c>
      <c r="AB67" s="2">
        <f>SUMIFS(PERSALDATA!$G$2:$G$20871,PERSALDATA!$A$2:$A$20871,WORKING!A67,PERSALDATA!$D$2:$D$20871,WORKING!B67,PERSALDATA!$E$2:$E$20871,WORKING!C67,PERSALDATA!$F$2:$F$20871,"S&amp;W: BASIC SALARY (RES)")</f>
        <v>2</v>
      </c>
      <c r="AC67" s="2">
        <f>SUMIFS(PERSALDATA!$H$2:$H$20871,PERSALDATA!$A$2:$A$20871,WORKING!A67,PERSALDATA!$D$2:$D$20871,WORKING!B67,PERSALDATA!$E$2:$E$20871,WORKING!C67)</f>
        <v>1782051.98</v>
      </c>
    </row>
    <row r="68" spans="1:29" x14ac:dyDescent="0.25">
      <c r="A68" s="2">
        <f>Results!$D$3</f>
        <v>29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0.69996580024342703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0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9.0995423802870942E-2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4.8982822950662246E-5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0.20898979313075144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1.499926525765574E-2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1428255.7799999998</v>
      </c>
    </row>
    <row r="69" spans="1:29" x14ac:dyDescent="0.25">
      <c r="A69" s="2">
        <f>Results!$D$3</f>
        <v>29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29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29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29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29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29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29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29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29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29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29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29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29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29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29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29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29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29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29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29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29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29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29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29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29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29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29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29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29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29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29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29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29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29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29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29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29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29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29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29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29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29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29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29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29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29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29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29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29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29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29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29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29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29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29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29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29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29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29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29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29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29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29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29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29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29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29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29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29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29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29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29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29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29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29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29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29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29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29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29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29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29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29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29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29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29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29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29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29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29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29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29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29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29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29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29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29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29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29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29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29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29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29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29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29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29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29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29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29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29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29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29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29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29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29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29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29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29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29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29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29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29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29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29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29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29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29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29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29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29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29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29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29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29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29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29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29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29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29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29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29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29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29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29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29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29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29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29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29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29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29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29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29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29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29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29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29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29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29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29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29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29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29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29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29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29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29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29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29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29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29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29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29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29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29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29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29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29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29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29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29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29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29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29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29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29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29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29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29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29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29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29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29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29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29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29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29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29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29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29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29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29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29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29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29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29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29</v>
      </c>
      <c r="E3" s="74" t="str">
        <f>INDEX(MAPs!$I$7:$J$54,MATCH(Results!$D$3,MAPs!$I$7:$I$54,0),2)</f>
        <v>Mineral Resources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430.68421052631578</v>
      </c>
      <c r="N9" s="148">
        <f>IFERROR(SUMIFS('Employee Profile (2)'!C$4:C$50,'Employee Profile (2)'!$B$4:$B$50,Results!$D$3),"")</f>
        <v>0.38215102974828374</v>
      </c>
      <c r="O9" s="150" t="s">
        <v>620</v>
      </c>
      <c r="P9" s="143">
        <f>IFERROR(INDEX('Employee Profile (2)'!$AC$4:$AC$50,MATCH(Results!$D$3,'Employee Profile (2)'!$B$4:$B$50,0))*$Q9,"")</f>
        <v>802.0526315789474</v>
      </c>
      <c r="Q9" s="148">
        <f>IFERROR(SUMIFS('Employee Profile (2)'!J$4:J$50,'Employee Profile (2)'!$B$4:$B$50,Results!$D$3),"")</f>
        <v>0.71167048054919912</v>
      </c>
      <c r="R9" s="150" t="s">
        <v>627</v>
      </c>
      <c r="S9" s="144">
        <f>IFERROR(INDEX('Employee Profile (2)'!$AC$4:$AC$50,MATCH(Results!$D$3,'Employee Profile (2)'!$B$4:$B$50,0))*$T9,"")</f>
        <v>12.035087719298245</v>
      </c>
      <c r="T9" s="147">
        <f>IFERROR(SUMIFS('Employee Profile (2)'!N$4:N$50,'Employee Profile (2)'!$B$4:$B$50,Results!$D$3),"")</f>
        <v>1.0678871090770403E-2</v>
      </c>
      <c r="U9" s="150" t="s">
        <v>632</v>
      </c>
      <c r="V9" s="144">
        <f>IFERROR(INDEX('Employee Profile (2)'!$AC$4:$AC$50,MATCH(Results!$D$3,'Employee Profile (2)'!$B$4:$B$50,0))*$W9,"")</f>
        <v>506.33333333333331</v>
      </c>
      <c r="W9" s="147">
        <f>IFERROR(SUMIFS('Employee Profile (2)'!S$4:S$50,'Employee Profile (2)'!$B$4:$B$50,Results!$D$3),"")</f>
        <v>0.44927536231884058</v>
      </c>
      <c r="X9" s="150" t="s">
        <v>635</v>
      </c>
      <c r="Y9" s="144">
        <f>IFERROR(INDEX('Employee Profile (2)'!$AC$4:$AC$50,MATCH(Results!$D$3,'Employee Profile (2)'!$B$4:$B$50,0))*$Z9,"")</f>
        <v>847.61403508771934</v>
      </c>
      <c r="Z9" s="147">
        <f>IFERROR(SUMIFS('Employee Profile (2)'!V$4:V$50,'Employee Profile (2)'!$B$4:$B$50,Results!$D$3),"")</f>
        <v>0.75209763539282992</v>
      </c>
      <c r="AA9" s="150" t="s">
        <v>675</v>
      </c>
      <c r="AB9" s="144">
        <f>IFERROR(SUMIFS('Employee Profile (2)'!$AD$4:$AD$50,'Employee Profile (2)'!$B$4:$B$50,Results!$D$3),"")</f>
        <v>363</v>
      </c>
      <c r="AC9" s="147">
        <f>IFERROR(SUMIFS('Employee Profile (2)'!$AE$4:$AE$50,'Employee Profile (2)'!$B$4:$B$50,Results!$D$3),"")</f>
        <v>0.32209405501330968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1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379.10526315789474</v>
      </c>
      <c r="N10" s="148">
        <f>IFERROR(SUMIFS('Employee Profile (2)'!D$4:D$50,'Employee Profile (2)'!$B$4:$B$50,Results!$D$3),"")</f>
        <v>0.33638443935926776</v>
      </c>
      <c r="O10" s="150" t="s">
        <v>621</v>
      </c>
      <c r="P10" s="143">
        <f>IFERROR(INDEX('Employee Profile (2)'!$AC$4:$AC$50,MATCH(Results!$D$3,'Employee Profile (2)'!$B$4:$B$50,0))*$Q10,"")</f>
        <v>252.73684210526315</v>
      </c>
      <c r="Q10" s="148">
        <f>IFERROR(SUMIFS('Employee Profile (2)'!K$4:K$50,'Employee Profile (2)'!$B$4:$B$50,Results!$D$3),"")</f>
        <v>0.22425629290617849</v>
      </c>
      <c r="R10" s="150" t="s">
        <v>628</v>
      </c>
      <c r="S10" s="144">
        <f>IFERROR(INDEX('Employee Profile (2)'!$AC$4:$AC$50,MATCH(Results!$D$3,'Employee Profile (2)'!$B$4:$B$50,0))*$T10,"")</f>
        <v>196.85964912280701</v>
      </c>
      <c r="T10" s="147">
        <f>IFERROR(SUMIFS('Employee Profile (2)'!O$4:O$50,'Employee Profile (2)'!$B$4:$B$50,Results!$D$3),"")</f>
        <v>0.17467581998474446</v>
      </c>
      <c r="U10" s="150" t="s">
        <v>633</v>
      </c>
      <c r="V10" s="144">
        <f>IFERROR(INDEX('Employee Profile (2)'!$AC$4:$AC$50,MATCH(Results!$D$3,'Employee Profile (2)'!$B$4:$B$50,0))*$W10,"")</f>
        <v>451.31578947368422</v>
      </c>
      <c r="W10" s="147">
        <f>IFERROR(SUMIFS('Employee Profile (2)'!T$4:T$50,'Employee Profile (2)'!$B$4:$B$50,Results!$D$3),"")</f>
        <v>0.40045766590389015</v>
      </c>
      <c r="X10" s="150" t="s">
        <v>636</v>
      </c>
      <c r="Y10" s="144">
        <f>IFERROR(INDEX('Employee Profile (2)'!$AC$4:$AC$50,MATCH(Results!$D$3,'Employee Profile (2)'!$B$4:$B$50,0))*$Z10,"")</f>
        <v>28.368421052631579</v>
      </c>
      <c r="Z10" s="147">
        <f>IFERROR(SUMIFS('Employee Profile (2)'!W$4:W$50,'Employee Profile (2)'!$B$4:$B$50,Results!$D$3),"")</f>
        <v>2.5171624713958809E-2</v>
      </c>
      <c r="AA10" s="150" t="s">
        <v>676</v>
      </c>
      <c r="AB10" s="144">
        <f>IFERROR(INDEX('Employee Profile (2)'!$AC$4:$AC$50,MATCH(Results!$D$3,'Employee Profile (2)'!$B$4:$B$50))-$AB$9,"")</f>
        <v>764</v>
      </c>
      <c r="AC10" s="147">
        <f>IFERROR(100%-$AC$9,"")</f>
        <v>0.67790594498669032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2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55.017543859649123</v>
      </c>
      <c r="N11" s="148">
        <f>IFERROR(SUMIFS('Employee Profile (2)'!E$4:E$50,'Employee Profile (2)'!$B$4:$B$50,Results!$D$3),"")</f>
        <v>4.8817696414950422E-2</v>
      </c>
      <c r="O11" s="150" t="s">
        <v>622</v>
      </c>
      <c r="P11" s="143">
        <f>IFERROR(INDEX('Employee Profile (2)'!$AC$4:$AC$50,MATCH(Results!$D$3,'Employee Profile (2)'!$B$4:$B$50,0))*$Q11,"")</f>
        <v>55.017543859649123</v>
      </c>
      <c r="Q11" s="148">
        <f>IFERROR(SUMIFS('Employee Profile (2)'!L$4:L$50,'Employee Profile (2)'!$B$4:$B$50,Results!$D$3),"")</f>
        <v>4.8817696414950422E-2</v>
      </c>
      <c r="R11" s="150" t="s">
        <v>629</v>
      </c>
      <c r="S11" s="144">
        <f>IFERROR(INDEX('Employee Profile (2)'!$AC$4:$AC$50,MATCH(Results!$D$3,'Employee Profile (2)'!$B$4:$B$50,0))*$T11,"")</f>
        <v>295.71929824561408</v>
      </c>
      <c r="T11" s="147">
        <f>IFERROR(SUMIFS('Employee Profile (2)'!P$4:P$50,'Employee Profile (2)'!$B$4:$B$50,Results!$D$3),"")</f>
        <v>0.26239511823035855</v>
      </c>
      <c r="U11" s="150" t="s">
        <v>53</v>
      </c>
      <c r="V11" s="144">
        <f>IFERROR(INDEX('Employee Profile (2)'!$AC$4:$AC$50,MATCH(Results!$D$3,'Employee Profile (2)'!$B$4:$B$50,0))*$W11,"")</f>
        <v>169.35087719298244</v>
      </c>
      <c r="W11" s="147">
        <f>IFERROR(SUMIFS('Employee Profile (2)'!U$4:U$50,'Employee Profile (2)'!$B$4:$B$50,Results!$D$3),"")</f>
        <v>0.15026697177726925</v>
      </c>
      <c r="X11" s="150" t="s">
        <v>637</v>
      </c>
      <c r="Y11" s="144">
        <f>IFERROR(INDEX('Employee Profile (2)'!$AC$4:$AC$50,MATCH(Results!$D$3,'Employee Profile (2)'!$B$4:$B$50,0))*$Z11,"")</f>
        <v>5.1578947368421053</v>
      </c>
      <c r="Z11" s="147">
        <f>IFERROR(SUMIFS('Employee Profile (2)'!X$4:X$50,'Employee Profile (2)'!$B$4:$B$50,Results!$D$3),"")</f>
        <v>4.5766590389016018E-3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11</v>
      </c>
      <c r="I12" s="158">
        <v>9</v>
      </c>
      <c r="J12" s="158">
        <v>2</v>
      </c>
      <c r="L12" s="150" t="s">
        <v>659</v>
      </c>
      <c r="M12" s="143">
        <f>IFERROR(INDEX('Employee Profile (2)'!$AC$4:$AC$50,MATCH(Results!$D$3,'Employee Profile (2)'!$B$4:$B$50,0))*$N12,"")</f>
        <v>52.438596491228076</v>
      </c>
      <c r="N12" s="148">
        <f>IFERROR(SUMIFS('Employee Profile (2)'!F$4:F$50,'Employee Profile (2)'!$B$4:$B$50,Results!$D$3),"")</f>
        <v>4.6529366895499621E-2</v>
      </c>
      <c r="O12" s="150" t="s">
        <v>623</v>
      </c>
      <c r="P12" s="143">
        <f>IFERROR(INDEX('Employee Profile (2)'!$AC$4:$AC$50,MATCH(Results!$D$3,'Employee Profile (2)'!$B$4:$B$50,0))*$Q12,"")</f>
        <v>17.192982456140349</v>
      </c>
      <c r="Q12" s="148">
        <f>IFERROR(SUMIFS('Employee Profile (2)'!M$4:M$50,'Employee Profile (2)'!$B$4:$B$50,Results!$D$3),"")</f>
        <v>1.5255530129672006E-2</v>
      </c>
      <c r="R12" s="150" t="s">
        <v>630</v>
      </c>
      <c r="S12" s="144">
        <f>IFERROR(INDEX('Employee Profile (2)'!$AC$4:$AC$50,MATCH(Results!$D$3,'Employee Profile (2)'!$B$4:$B$50,0))*$T12,"")</f>
        <v>300.87719298245611</v>
      </c>
      <c r="T12" s="147">
        <f>IFERROR(SUMIFS('Employee Profile (2)'!Q$4:Q$50,'Employee Profile (2)'!$B$4:$B$50,Results!$D$3),"")</f>
        <v>0.26697177726926008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76.508771929824562</v>
      </c>
      <c r="Z12" s="147">
        <f>IFERROR(SUMIFS('Employee Profile (2)'!Y$4:Y$50,'Employee Profile (2)'!$B$4:$B$50,Results!$D$3),"")</f>
        <v>6.7887109077040431E-2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7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30.94736842105263</v>
      </c>
      <c r="N13" s="148">
        <f>IFERROR(SUMIFS('Employee Profile (2)'!G$4:G$50,'Employee Profile (2)'!$B$4:$B$50,Results!$D$3),"")</f>
        <v>2.7459954233409609E-2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321.5087719298246</v>
      </c>
      <c r="T13" s="147">
        <f>IFERROR(SUMIFS('Employee Profile (2)'!R$4:R$50,'Employee Profile (2)'!$B$4:$B$50,Results!$D$3),"")</f>
        <v>0.28527841342486654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169.35087719298244</v>
      </c>
      <c r="Z13" s="147">
        <f>IFERROR(SUMIFS('Employee Profile (2)'!Z$4:Z$50,'Employee Profile (2)'!$B$4:$B$50,Results!$D$3),"")</f>
        <v>0.15026697177726925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72</v>
      </c>
      <c r="I14" s="158">
        <v>17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10.315789473684211</v>
      </c>
      <c r="N14" s="148">
        <f>IFERROR(SUMIFS('Employee Profile (2)'!H$4:H$50,'Employee Profile (2)'!$B$4:$B$50,Results!$D$3),"")</f>
        <v>9.1533180778032037E-3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93</v>
      </c>
      <c r="I15" s="112">
        <f t="shared" si="0"/>
        <v>26</v>
      </c>
      <c r="J15" s="112">
        <f t="shared" si="0"/>
        <v>2</v>
      </c>
      <c r="L15" s="150" t="s">
        <v>53</v>
      </c>
      <c r="M15" s="143">
        <f>IFERROR(INDEX('Employee Profile (2)'!$AC$4:$AC$50,MATCH(Results!$D$3,'Employee Profile (2)'!$B$4:$B$50,0))*$N15,"")</f>
        <v>168.49122807017542</v>
      </c>
      <c r="N15" s="148">
        <f>IFERROR(SUMIFS('Employee Profile (2)'!I$4:I$50,'Employee Profile (2)'!$B$4:$B$50,Results!$D$3),"")</f>
        <v>0.14950419527078565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93</v>
      </c>
      <c r="I16" s="82">
        <f>SUMIFS($AE$64:$AE$509,$C$64:$C$509,"Total")</f>
        <v>26</v>
      </c>
      <c r="J16" s="82">
        <f>SUMIFS($AM$64:$AM$509,$C$64:$C$509,"Total")</f>
        <v>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362</v>
      </c>
      <c r="G29" s="87">
        <f t="shared" ref="G29:G44" si="4">SUMIFS($K$64:$K$509,$A$64:$A$509,B29,$C$64:$C$509,"Total")</f>
        <v>444.75658110497233</v>
      </c>
      <c r="H29" s="83">
        <f t="shared" ref="H29:H44" si="5">SUMIFS($J$64:$J$509,$A$64:$A$509,B29,$C$64:$C$509,"Total")</f>
        <v>161001.88235999999</v>
      </c>
      <c r="I29" s="21">
        <f t="shared" ref="I29:I44" si="6">-SUMIFS($O$64:$O$509,$A$64:$A$509,$B29,$C$64:$C$509,"Total")+SUMIFS($N$64:$N$509,$A$64:$A$509,$B29,$C$64:$C$509,"Total")</f>
        <v>8</v>
      </c>
      <c r="J29" s="88">
        <f t="shared" ref="J29:J44" si="7">SUMIFS($P$64:$P$509,$A$64:$A$509,$B29,$C$64:$C$509,"Total")</f>
        <v>370</v>
      </c>
      <c r="K29" s="88">
        <f t="shared" ref="K29:K44" si="8">SUMIFS($M$64:$M$509,$A$64:$A$509,$B29,$C$64:$C$509,"Total")</f>
        <v>492.73342663835189</v>
      </c>
      <c r="L29" s="88">
        <f t="shared" ref="L29:L44" si="9">SUMIFS($R$64:$R$509,$A$64:$A$509,$B29,$C$64:$C$509,"Total")+SUMIFS($Q$64:$Q$509,$A$64:$A$509,$B29,$C$64:$C$509,"Total")</f>
        <v>9727.5033739951414</v>
      </c>
      <c r="M29" s="88">
        <f t="shared" ref="M29:M44" si="10">SUMIFS($S$64:$S$509,$A$64:$A$509,$B29,$C$64:$C$509,"Total")</f>
        <v>182311.36785619019</v>
      </c>
      <c r="N29" s="88">
        <f t="shared" ref="N29:N44" si="11">SUMIFS($S$64:$S$509,$A$64:$A$509,$B29,$C$64:$C$509,"Compensation Budget")</f>
        <v>171702</v>
      </c>
      <c r="O29" s="89">
        <f t="shared" ref="O29:O44" si="12">SUMIFS($S$64:$S$509,$A$64:$A$509,$B29,$C$64:$C$509,"Under/(Over)")</f>
        <v>-10609.367856190191</v>
      </c>
      <c r="P29" s="21">
        <f t="shared" ref="P29:P44" si="13">-SUMIFS($W$64:$W$509,$A$64:$A$509,$B29,$C$64:$C$509,"Total")+SUMIFS($V$64:$V$509,$A$64:$A$509,$B29,$C$64:$C$509,"Total")</f>
        <v>-66</v>
      </c>
      <c r="Q29" s="88">
        <f t="shared" ref="Q29:Q44" si="14">SUMIFS($X$64:$X$509,$A$64:$A$509,$B29,$C$64:$C$509,"Total")</f>
        <v>304</v>
      </c>
      <c r="R29" s="88">
        <f t="shared" ref="R29:R44" si="15">SUMIFS($U$64:$U$509,$A$64:$A$509,$B29,$C$64:$C$509,"Total")</f>
        <v>567.15778565248695</v>
      </c>
      <c r="S29" s="88">
        <f t="shared" ref="S29:S44" si="16">SUMIFS($Z$64:$Z$509,$A$64:$A$509,$B29,$C$64:$C$509,"Total")+SUMIFS($Y$64:$Y$509,$A$64:$A$509,$B29,$C$64:$C$509,"Total")</f>
        <v>-24926.29534369905</v>
      </c>
      <c r="T29" s="88">
        <f t="shared" ref="T29:T44" si="17">SUMIFS($AA$64:$AA$509,$A$64:$A$509,$B29,$C$64:$C$509,"Total")</f>
        <v>172415.96683835602</v>
      </c>
      <c r="U29" s="88">
        <f t="shared" ref="U29:U44" si="18">SUMIFS($AA$64:$AA$509,$A$64:$A$509,$B29,$C$64:$C$509,"Compensation Budget")</f>
        <v>176188</v>
      </c>
      <c r="V29" s="89">
        <f t="shared" ref="V29:V44" si="19">SUMIFS($AA$64:$AA$509,$A$64:$A$509,$B29,$C$64:$C$509,"Under/(Over)")</f>
        <v>3772.0331616439798</v>
      </c>
      <c r="W29" s="21">
        <f t="shared" ref="W29:W44" si="20">-SUMIFS($AE$64:$AE$509,$A$64:$A$509,$B29,$C$64:$C$509,"Total")+SUMIFS($AD$64:$AD$509,$A$64:$A$509,$B29,$C$64:$C$509,"Total")</f>
        <v>-8</v>
      </c>
      <c r="X29" s="88">
        <f t="shared" ref="X29:X44" si="21">SUMIFS($AF$64:$AF$509,$A$64:$A$509,$B29,$C$64:$C$509,"Total")</f>
        <v>296</v>
      </c>
      <c r="Y29" s="88">
        <f t="shared" ref="Y29:Y44" si="22">SUMIFS($AC$64:$AC$509,$A$64:$A$509,$B29,$C$64:$C$509,"Total")</f>
        <v>598.30355853300421</v>
      </c>
      <c r="Z29" s="88">
        <f t="shared" ref="Z29:Z44" si="23">SUMIFS($AH$64:$AH$509,$A$64:$A$509,$B29,$C$64:$C$509,"Total")+SUMIFS($AG$64:$AG$509,$A$64:$A$509,$B29,$C$64:$C$509,"Total")</f>
        <v>-9298.2720216329435</v>
      </c>
      <c r="AA29" s="88">
        <f t="shared" ref="AA29:AA44" si="24">SUMIFS($AI$64:$AI$509,$A$64:$A$509,$B29,$C$64:$C$509,"Total")</f>
        <v>177097.85332576925</v>
      </c>
      <c r="AB29" s="88">
        <f t="shared" ref="AB29:AB44" si="25">SUMIFS($AI$64:$AI$509,$A$64:$A$509,$B29,$C$64:$C$509,"Compensation Budget")</f>
        <v>185165</v>
      </c>
      <c r="AC29" s="89">
        <f t="shared" ref="AC29:AC44" si="26">SUMIFS($AI$64:$AI$509,$A$64:$A$509,$B29,$C$64:$C$509,"Under/(Over)")</f>
        <v>8067.146674230753</v>
      </c>
      <c r="AD29" s="21">
        <f t="shared" ref="AD29:AD44" si="27">-SUMIFS($AM$64:$AM$509,$A$64:$A$509,$B29,$C$64:$C$509,"Total")+SUMIFS($AL$64:$AL$509,$A$64:$A$509,$B29,$C$64:$C$509,"Total")</f>
        <v>-2</v>
      </c>
      <c r="AE29" s="88">
        <f t="shared" ref="AE29:AE44" si="28">SUMIFS($AN$64:$AN$509,$A$64:$A$509,$B29,$C$64:$C$509,"Total")</f>
        <v>294</v>
      </c>
      <c r="AF29" s="88">
        <f t="shared" ref="AF29:AF44" si="29">SUMIFS($AK$64:$AK$509,$A$64:$A$509,$B29,$C$64:$C$509,"Total")</f>
        <v>642.45705293942297</v>
      </c>
      <c r="AG29" s="88">
        <f t="shared" ref="AG29:AG44" si="30">SUMIFS($AP$64:$AP$509,$A$64:$A$509,$B29,$C$64:$C$509,"Total")+SUMIFS($AO$64:$AO$509,$A$64:$A$509,$B29,$C$64:$C$509,"Total")</f>
        <v>-2280.5053905336863</v>
      </c>
      <c r="AH29" s="88">
        <f t="shared" ref="AH29:AH44" si="31">SUMIFS($AQ$64:$AQ$509,$A$64:$A$509,$B29,$C$64:$C$509,"Total")</f>
        <v>188882.37356419035</v>
      </c>
      <c r="AI29" s="88">
        <f t="shared" ref="AI29:AI44" si="32">SUMIFS($AQ$64:$AQ$509,$A$64:$A$509,$B29,$C$64:$C$509,"Compensation Budget")</f>
        <v>199237.54</v>
      </c>
      <c r="AJ29" s="89">
        <f t="shared" ref="AJ29:AJ44" si="33">SUMIFS($AQ$64:$AQ$509,$A$64:$A$509,$B29,$C$64:$C$509,"Under/(Over)")</f>
        <v>10355.16643580966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Mine Health and Safety</v>
      </c>
      <c r="D30" s="222">
        <f t="shared" si="2"/>
        <v>0</v>
      </c>
      <c r="E30" s="223">
        <f t="shared" si="2"/>
        <v>0</v>
      </c>
      <c r="F30" s="80">
        <f t="shared" si="3"/>
        <v>291</v>
      </c>
      <c r="G30" s="155">
        <f t="shared" si="4"/>
        <v>486.35469278350513</v>
      </c>
      <c r="H30" s="155">
        <f t="shared" si="5"/>
        <v>141529.2156</v>
      </c>
      <c r="I30" s="23">
        <f t="shared" si="6"/>
        <v>10</v>
      </c>
      <c r="J30" s="22">
        <f t="shared" si="7"/>
        <v>301</v>
      </c>
      <c r="K30" s="22">
        <f t="shared" si="8"/>
        <v>520.05136128903337</v>
      </c>
      <c r="L30" s="22">
        <f t="shared" si="9"/>
        <v>3291.1769524693564</v>
      </c>
      <c r="M30" s="22">
        <f t="shared" si="10"/>
        <v>156535.45974799903</v>
      </c>
      <c r="N30" s="22">
        <f t="shared" si="11"/>
        <v>153995</v>
      </c>
      <c r="O30" s="91">
        <f t="shared" si="12"/>
        <v>-2540.4597479990334</v>
      </c>
      <c r="P30" s="23">
        <f t="shared" si="13"/>
        <v>-9</v>
      </c>
      <c r="Q30" s="22">
        <f t="shared" si="14"/>
        <v>292</v>
      </c>
      <c r="R30" s="22">
        <f t="shared" si="15"/>
        <v>552.29890230820286</v>
      </c>
      <c r="S30" s="22">
        <f t="shared" si="16"/>
        <v>-8403.491432104769</v>
      </c>
      <c r="T30" s="22">
        <f t="shared" si="17"/>
        <v>161271.27947399524</v>
      </c>
      <c r="U30" s="22">
        <f t="shared" si="18"/>
        <v>152654</v>
      </c>
      <c r="V30" s="91">
        <f t="shared" si="19"/>
        <v>-8617.2794739952369</v>
      </c>
      <c r="W30" s="23">
        <f t="shared" si="20"/>
        <v>-6</v>
      </c>
      <c r="X30" s="22">
        <f t="shared" si="21"/>
        <v>286</v>
      </c>
      <c r="Y30" s="22">
        <f t="shared" si="22"/>
        <v>596.70543881608103</v>
      </c>
      <c r="Z30" s="22">
        <f t="shared" si="23"/>
        <v>-3973.8744752698431</v>
      </c>
      <c r="AA30" s="22">
        <f t="shared" si="24"/>
        <v>170657.75550139917</v>
      </c>
      <c r="AB30" s="22">
        <f t="shared" si="25"/>
        <v>157818</v>
      </c>
      <c r="AC30" s="91">
        <f t="shared" si="26"/>
        <v>-12839.755501399166</v>
      </c>
      <c r="AD30" s="23">
        <f t="shared" si="27"/>
        <v>0</v>
      </c>
      <c r="AE30" s="22">
        <f t="shared" si="28"/>
        <v>286</v>
      </c>
      <c r="AF30" s="22">
        <f t="shared" si="29"/>
        <v>644.91225190796104</v>
      </c>
      <c r="AG30" s="22">
        <f t="shared" si="30"/>
        <v>0</v>
      </c>
      <c r="AH30" s="22">
        <f t="shared" si="31"/>
        <v>184444.90404567687</v>
      </c>
      <c r="AI30" s="22">
        <f t="shared" si="32"/>
        <v>169812.16800000001</v>
      </c>
      <c r="AJ30" s="91">
        <f t="shared" si="33"/>
        <v>-14632.736045676866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Mineral Regulation</v>
      </c>
      <c r="D31" s="222">
        <f t="shared" si="2"/>
        <v>0</v>
      </c>
      <c r="E31" s="223">
        <f t="shared" si="2"/>
        <v>0</v>
      </c>
      <c r="F31" s="80">
        <f t="shared" si="3"/>
        <v>363</v>
      </c>
      <c r="G31" s="155">
        <f t="shared" si="4"/>
        <v>448.2987222038567</v>
      </c>
      <c r="H31" s="155">
        <f t="shared" si="5"/>
        <v>162732.43615999998</v>
      </c>
      <c r="I31" s="23">
        <f t="shared" si="6"/>
        <v>23</v>
      </c>
      <c r="J31" s="22">
        <f t="shared" si="7"/>
        <v>386</v>
      </c>
      <c r="K31" s="22">
        <f t="shared" si="8"/>
        <v>496.34836222747663</v>
      </c>
      <c r="L31" s="22">
        <f t="shared" si="9"/>
        <v>16338.667156398371</v>
      </c>
      <c r="M31" s="22">
        <f t="shared" si="10"/>
        <v>191590.46781980598</v>
      </c>
      <c r="N31" s="22">
        <f t="shared" si="11"/>
        <v>178390</v>
      </c>
      <c r="O31" s="91">
        <f t="shared" si="12"/>
        <v>-13200.467819805985</v>
      </c>
      <c r="P31" s="23">
        <f t="shared" si="13"/>
        <v>-9</v>
      </c>
      <c r="Q31" s="22">
        <f t="shared" si="14"/>
        <v>377</v>
      </c>
      <c r="R31" s="22">
        <f t="shared" si="15"/>
        <v>536.20598277624072</v>
      </c>
      <c r="S31" s="22">
        <f t="shared" si="16"/>
        <v>-5533.2714424235928</v>
      </c>
      <c r="T31" s="22">
        <f t="shared" si="17"/>
        <v>202149.65550664277</v>
      </c>
      <c r="U31" s="22">
        <f t="shared" si="18"/>
        <v>182833</v>
      </c>
      <c r="V31" s="91">
        <f t="shared" si="19"/>
        <v>-19316.655506642768</v>
      </c>
      <c r="W31" s="23">
        <f t="shared" si="20"/>
        <v>-6</v>
      </c>
      <c r="X31" s="22">
        <f t="shared" si="21"/>
        <v>371</v>
      </c>
      <c r="Y31" s="22">
        <f t="shared" si="22"/>
        <v>579.295048231225</v>
      </c>
      <c r="Z31" s="22">
        <f t="shared" si="23"/>
        <v>-4000.0216601361171</v>
      </c>
      <c r="AA31" s="22">
        <f t="shared" si="24"/>
        <v>214918.46289378448</v>
      </c>
      <c r="AB31" s="22">
        <f t="shared" si="25"/>
        <v>192056</v>
      </c>
      <c r="AC31" s="91">
        <f t="shared" si="26"/>
        <v>-22862.462893784483</v>
      </c>
      <c r="AD31" s="23">
        <f t="shared" si="27"/>
        <v>0</v>
      </c>
      <c r="AE31" s="22">
        <f t="shared" si="28"/>
        <v>371</v>
      </c>
      <c r="AF31" s="22">
        <f t="shared" si="29"/>
        <v>626.16501096248157</v>
      </c>
      <c r="AG31" s="22">
        <f t="shared" si="30"/>
        <v>0</v>
      </c>
      <c r="AH31" s="22">
        <f t="shared" si="31"/>
        <v>232307.21906708067</v>
      </c>
      <c r="AI31" s="22">
        <f t="shared" si="32"/>
        <v>206652.25600000002</v>
      </c>
      <c r="AJ31" s="91">
        <f t="shared" si="33"/>
        <v>-25654.963067080651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Mineral Policy and Promotion</v>
      </c>
      <c r="D32" s="222">
        <f t="shared" si="2"/>
        <v>0</v>
      </c>
      <c r="E32" s="223">
        <f t="shared" si="2"/>
        <v>0</v>
      </c>
      <c r="F32" s="80">
        <f t="shared" si="3"/>
        <v>109</v>
      </c>
      <c r="G32" s="155">
        <f t="shared" si="4"/>
        <v>559.64472238532107</v>
      </c>
      <c r="H32" s="155">
        <f t="shared" si="5"/>
        <v>61001.274740000001</v>
      </c>
      <c r="I32" s="23">
        <f t="shared" si="6"/>
        <v>5</v>
      </c>
      <c r="J32" s="22">
        <f t="shared" si="7"/>
        <v>114</v>
      </c>
      <c r="K32" s="22">
        <f t="shared" si="8"/>
        <v>611.26956112855305</v>
      </c>
      <c r="L32" s="22">
        <f t="shared" si="9"/>
        <v>4249.9498746033923</v>
      </c>
      <c r="M32" s="22">
        <f t="shared" si="10"/>
        <v>69684.729968655054</v>
      </c>
      <c r="N32" s="22">
        <f t="shared" si="11"/>
        <v>68043</v>
      </c>
      <c r="O32" s="91">
        <f t="shared" si="12"/>
        <v>-1641.7299686550541</v>
      </c>
      <c r="P32" s="23">
        <f t="shared" si="13"/>
        <v>-9</v>
      </c>
      <c r="Q32" s="22">
        <f t="shared" si="14"/>
        <v>105</v>
      </c>
      <c r="R32" s="22">
        <f t="shared" si="15"/>
        <v>667.04458020065283</v>
      </c>
      <c r="S32" s="22">
        <f t="shared" si="16"/>
        <v>-5444.2119141884987</v>
      </c>
      <c r="T32" s="22">
        <f t="shared" si="17"/>
        <v>70039.680921068546</v>
      </c>
      <c r="U32" s="22">
        <f t="shared" si="18"/>
        <v>67455</v>
      </c>
      <c r="V32" s="91">
        <f t="shared" si="19"/>
        <v>-2584.680921068546</v>
      </c>
      <c r="W32" s="23">
        <f t="shared" si="20"/>
        <v>-6</v>
      </c>
      <c r="X32" s="22">
        <f t="shared" si="21"/>
        <v>99</v>
      </c>
      <c r="Y32" s="22">
        <f t="shared" si="22"/>
        <v>705.9937972893573</v>
      </c>
      <c r="Z32" s="22">
        <f t="shared" si="23"/>
        <v>-5893.1271480370797</v>
      </c>
      <c r="AA32" s="22">
        <f t="shared" si="24"/>
        <v>69893.385931646379</v>
      </c>
      <c r="AB32" s="22">
        <f t="shared" si="25"/>
        <v>69746</v>
      </c>
      <c r="AC32" s="91">
        <f t="shared" si="26"/>
        <v>-147.38593164637859</v>
      </c>
      <c r="AD32" s="23">
        <f t="shared" si="27"/>
        <v>0</v>
      </c>
      <c r="AE32" s="22">
        <f t="shared" si="28"/>
        <v>99</v>
      </c>
      <c r="AF32" s="22">
        <f t="shared" si="29"/>
        <v>762.35191253121184</v>
      </c>
      <c r="AG32" s="22">
        <f t="shared" si="30"/>
        <v>0</v>
      </c>
      <c r="AH32" s="22">
        <f t="shared" si="31"/>
        <v>75472.83934058997</v>
      </c>
      <c r="AI32" s="22">
        <f t="shared" si="32"/>
        <v>75046.696000000011</v>
      </c>
      <c r="AJ32" s="91">
        <f t="shared" si="33"/>
        <v>-426.14334058995883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1125</v>
      </c>
      <c r="G45" s="92">
        <f>IFERROR(H45/F45,0)</f>
        <v>467.79094120888885</v>
      </c>
      <c r="H45" s="92">
        <f>SUM(H29:H38)</f>
        <v>526264.80885999999</v>
      </c>
      <c r="I45" s="25">
        <f>SUM(I29:I38)</f>
        <v>46</v>
      </c>
      <c r="J45" s="92">
        <f>SUM(J29:J38)</f>
        <v>1171</v>
      </c>
      <c r="K45" s="92">
        <f>IFERROR(M45/J45,0)</f>
        <v>512.4867851346288</v>
      </c>
      <c r="L45" s="92">
        <f t="shared" ref="L45:Q45" si="34">SUM(L29:L38)</f>
        <v>33607.297357466261</v>
      </c>
      <c r="M45" s="92">
        <f t="shared" si="34"/>
        <v>600122.02539265028</v>
      </c>
      <c r="N45" s="92">
        <f>INDEX('ENE17'!$C$2:$C$48,MATCH(Results!$D$3,'ENE17'!$A$2:$A$48,0))</f>
        <v>564368</v>
      </c>
      <c r="O45" s="129">
        <f>N45-M45</f>
        <v>-35754.025392650277</v>
      </c>
      <c r="P45" s="25">
        <f t="shared" si="34"/>
        <v>-93</v>
      </c>
      <c r="Q45" s="24">
        <f t="shared" si="34"/>
        <v>1078</v>
      </c>
      <c r="R45" s="92">
        <f>IFERROR(T45/Q45,0)</f>
        <v>562.03764632658863</v>
      </c>
      <c r="S45" s="24">
        <f>SUM(S29:S38)</f>
        <v>-44307.270132415906</v>
      </c>
      <c r="T45" s="24">
        <f>SUM(T29:T38)</f>
        <v>605876.5827400625</v>
      </c>
      <c r="U45" s="207">
        <f>INDEX('ENE17'!$D$2:$D$48,MATCH(Results!$D$3,'ENE17'!$A$2:$A$48,0))</f>
        <v>572760</v>
      </c>
      <c r="V45" s="24">
        <f>U45-T45</f>
        <v>-33116.582740062498</v>
      </c>
      <c r="W45" s="25">
        <f t="shared" ref="W45:X45" si="35">SUM(W29:W38)</f>
        <v>-26</v>
      </c>
      <c r="X45" s="24">
        <f t="shared" si="35"/>
        <v>1052</v>
      </c>
      <c r="Y45" s="92">
        <f>IFERROR(AA45/X45,0)</f>
        <v>601.29986468878246</v>
      </c>
      <c r="Z45" s="24">
        <f t="shared" ref="Z45:AA45" si="36">SUM(Z29:Z38)</f>
        <v>-23165.295305075982</v>
      </c>
      <c r="AA45" s="24">
        <f t="shared" si="36"/>
        <v>632567.4576525992</v>
      </c>
      <c r="AB45" s="207">
        <f>INDEX('ENE17'!$E$2:$E$48,MATCH(Results!$D$3,'ENE17'!$A$2:$A$48,0))</f>
        <v>598008</v>
      </c>
      <c r="AC45" s="24">
        <f>AB45-AA45</f>
        <v>-34559.457652599202</v>
      </c>
      <c r="AD45" s="25">
        <f t="shared" ref="AD45:AE45" si="37">SUM(AD29:AD38)</f>
        <v>-2</v>
      </c>
      <c r="AE45" s="24">
        <f t="shared" si="37"/>
        <v>1050</v>
      </c>
      <c r="AF45" s="92">
        <f>IFERROR(AH45/AE45,0)</f>
        <v>648.67365335003603</v>
      </c>
      <c r="AG45" s="24">
        <f t="shared" ref="AG45:AH45" si="38">SUM(AG29:AG38)</f>
        <v>-2280.5053905336863</v>
      </c>
      <c r="AH45" s="24">
        <f t="shared" si="38"/>
        <v>681107.33601753786</v>
      </c>
      <c r="AI45" s="207">
        <f>INDEX('ENE17'!$F$2:$F$48,MATCH(Results!$D$3,'ENE17'!$A$2:$A$48,0))</f>
        <v>643596</v>
      </c>
      <c r="AJ45" s="24">
        <f>AI45-AH45</f>
        <v>-37511.336017537862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276</v>
      </c>
      <c r="G51" s="193">
        <f>IFERROR(H51/F51,"")</f>
        <v>227.37611905797101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62755.808859999997</v>
      </c>
      <c r="I51" s="97">
        <f>SUMIFS($N$64:$N$509,$B$64:$B$509,$B51)-SUMIFS($O$64:$O$509,$B$64:$B$509,$B51)</f>
        <v>2</v>
      </c>
      <c r="J51" s="80">
        <f>SUMIFS($P$64:$P$509,$B$64:$B$509,$B51)</f>
        <v>278</v>
      </c>
      <c r="K51" s="80">
        <f>IFERROR(M51/J51,0)</f>
        <v>235.25531662974879</v>
      </c>
      <c r="L51" s="80">
        <f>SUMIFS($R$64:$R$509,$B$64:$B$509,$B51)+SUMIFS($Q$64:$Q$509,$B$64:$B$509,$B51)</f>
        <v>496.93759604355682</v>
      </c>
      <c r="M51" s="98">
        <f>SUMIFS($S$64:$S$509,$B$64:$B$509,$B51)</f>
        <v>65400.978023070165</v>
      </c>
      <c r="N51" s="80">
        <f>SUMIFS($V$64:$V$509,$B$64:$B$509,$B51)-SUMIFS($W$64:$W$509,$B$64:$B$509,$B51)</f>
        <v>-47</v>
      </c>
      <c r="O51" s="80">
        <f>SUMIFS($X$64:$X$509,$B$64:$B$509,$B51)</f>
        <v>231</v>
      </c>
      <c r="P51" s="80">
        <f>IFERROR(R51/O51,0)</f>
        <v>256.33182354435269</v>
      </c>
      <c r="Q51" s="80">
        <f>SUMIFS($Z$64:$Z$509,$B$64:$B$509,$B51)+SUMIFS($Y$64:$Y$509,$B$64:$B$509,$B51)</f>
        <v>-11711.011218136318</v>
      </c>
      <c r="R51" s="80">
        <f>SUMIFS($AA$64:$AA$509,$B$64:$B$509,$B51)</f>
        <v>59212.651238745471</v>
      </c>
      <c r="S51" s="97">
        <f>SUMIFS($AD$64:$AD$509,$B$64:$B$509,$B51)-SUMIFS($AE$64:$AE$509,$B$64:$B$509,$B51)</f>
        <v>0</v>
      </c>
      <c r="T51" s="80">
        <f>SUMIFS($AF$64:$AF$509,$B$64:$B$509,$B51)</f>
        <v>231</v>
      </c>
      <c r="U51" s="80">
        <f>IFERROR(W51/T51,0)</f>
        <v>277.71958537305102</v>
      </c>
      <c r="V51" s="80">
        <f>SUMIFS($AH$64:$AH$509,$B$64:$B$509,$B51)+SUMIFS($AG$64:$AG$509,$B$64:$B$509,$B51)</f>
        <v>0</v>
      </c>
      <c r="W51" s="98">
        <f>SUMIFS($AI$64:$AI$509,$B$64:$B$509,$B51)</f>
        <v>64153.22422117478</v>
      </c>
      <c r="X51" s="80">
        <f>SUMIFS($AL$64:$AL$509,$B$64:$B$509,$B51)-SUMIFS($AM$64:$AM$509,$B$64:$B$509,$B51)</f>
        <v>0</v>
      </c>
      <c r="Y51" s="80">
        <f>SUMIFS($AN$64:$AN$509,$B$64:$B$509,$B51)</f>
        <v>231</v>
      </c>
      <c r="Z51" s="80">
        <f>IFERROR(AB51/Y51,0)</f>
        <v>300.32922428942925</v>
      </c>
      <c r="AA51" s="80">
        <f>SUMIFS($AP$64:$AP$509,$B$64:$B$509,$B51)+SUMIFS($AO$64:$AO$509,$B$64:$B$509,$B51)</f>
        <v>0</v>
      </c>
      <c r="AB51" s="98">
        <f>SUMIFS($AQ$64:$AQ$509,$B$64:$B$509,$B51)</f>
        <v>69376.050810858156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548</v>
      </c>
      <c r="G52" s="192">
        <f t="shared" ref="G52:G55" si="40">IFERROR(H52/F52,"")</f>
        <v>391.69708029197079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214650</v>
      </c>
      <c r="I52" s="97">
        <f>SUMIFS($N$64:$N$509,$B$64:$B$509,$B52)-SUMIFS($O$64:$O$509,$B$64:$B$509,$B52)</f>
        <v>22</v>
      </c>
      <c r="J52" s="80">
        <f>SUMIFS($P$64:$P$509,$B$64:$B$509,$B52)</f>
        <v>570</v>
      </c>
      <c r="K52" s="80">
        <f t="shared" ref="K52:K56" si="41">IFERROR(M52/J52,0)</f>
        <v>423.05715305240898</v>
      </c>
      <c r="L52" s="80">
        <f>SUMIFS($R$64:$R$509,$B$64:$B$509,$B52)+SUMIFS($Q$64:$Q$509,$B$64:$B$509,$B52)</f>
        <v>7314.9653546125901</v>
      </c>
      <c r="M52" s="98">
        <f>SUMIFS($S$64:$S$509,$B$64:$B$509,$B52)</f>
        <v>241142.57723987312</v>
      </c>
      <c r="N52" s="80">
        <f>SUMIFS($V$64:$V$509,$B$64:$B$509,$B52)-SUMIFS($W$64:$W$509,$B$64:$B$509,$B52)</f>
        <v>-25</v>
      </c>
      <c r="O52" s="80">
        <f>SUMIFS($X$64:$X$509,$B$64:$B$509,$B52)</f>
        <v>545</v>
      </c>
      <c r="P52" s="80">
        <f t="shared" ref="P52:P55" si="42">IFERROR(R52/O52,0)</f>
        <v>453.47757512024054</v>
      </c>
      <c r="Q52" s="80">
        <f>SUMIFS($Z$64:$Z$509,$B$64:$B$509,$B52)+SUMIFS($Y$64:$Y$509,$B$64:$B$509,$B52)</f>
        <v>-14554.591348755908</v>
      </c>
      <c r="R52" s="80">
        <f>SUMIFS($AA$64:$AA$509,$B$64:$B$509,$B52)</f>
        <v>247145.27844053108</v>
      </c>
      <c r="S52" s="97">
        <f>SUMIFS($AD$64:$AD$509,$B$64:$B$509,$B52)-SUMIFS($AE$64:$AE$509,$B$64:$B$509,$B52)</f>
        <v>-12</v>
      </c>
      <c r="T52" s="80">
        <f>SUMIFS($AF$64:$AF$509,$B$64:$B$509,$B52)</f>
        <v>533</v>
      </c>
      <c r="U52" s="80">
        <f t="shared" ref="U52:U55" si="43">IFERROR(W52/T52,0)</f>
        <v>487.78287329625039</v>
      </c>
      <c r="V52" s="80">
        <f>SUMIFS($AH$64:$AH$509,$B$64:$B$509,$B52)+SUMIFS($AG$64:$AG$509,$B$64:$B$509,$B52)</f>
        <v>-7973.8961354059602</v>
      </c>
      <c r="W52" s="98">
        <f>SUMIFS($AI$64:$AI$509,$B$64:$B$509,$B52)</f>
        <v>259988.27146690147</v>
      </c>
      <c r="X52" s="80">
        <f>SUMIFS($AL$64:$AL$509,$B$64:$B$509,$B52)-SUMIFS($AM$64:$AM$509,$B$64:$B$509,$B52)</f>
        <v>-1</v>
      </c>
      <c r="Y52" s="80">
        <f>SUMIFS($AN$64:$AN$509,$B$64:$B$509,$B52)</f>
        <v>532</v>
      </c>
      <c r="Z52" s="80">
        <f t="shared" ref="Z52:Z55" si="44">IFERROR(AB52/Y52,0)</f>
        <v>527.64489166278895</v>
      </c>
      <c r="AA52" s="80">
        <f>SUMIFS($AP$64:$AP$509,$B$64:$B$509,$B52)+SUMIFS($AO$64:$AO$509,$B$64:$B$509,$B52)</f>
        <v>-650.68677761873539</v>
      </c>
      <c r="AB52" s="98">
        <f>SUMIFS($AQ$64:$AQ$509,$B$64:$B$509,$B52)</f>
        <v>280707.0823646037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219</v>
      </c>
      <c r="G53" s="192">
        <f t="shared" si="40"/>
        <v>727.81735159817356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159392</v>
      </c>
      <c r="I53" s="97">
        <f>SUMIFS($N$64:$N$509,$B$64:$B$509,$B53)-SUMIFS($O$64:$O$509,$B$64:$B$509,$B53)</f>
        <v>6</v>
      </c>
      <c r="J53" s="80">
        <f>SUMIFS($P$64:$P$509,$B$64:$B$509,$B53)</f>
        <v>225</v>
      </c>
      <c r="K53" s="80">
        <f t="shared" si="41"/>
        <v>796.43713306346081</v>
      </c>
      <c r="L53" s="80">
        <f>SUMIFS($R$64:$R$509,$B$64:$B$509,$B53)+SUMIFS($Q$64:$Q$509,$B$64:$B$509,$B53)</f>
        <v>5182.5152845324519</v>
      </c>
      <c r="M53" s="98">
        <f>SUMIFS($S$64:$S$509,$B$64:$B$509,$B53)</f>
        <v>179198.35493927868</v>
      </c>
      <c r="N53" s="80">
        <f>SUMIFS($V$64:$V$509,$B$64:$B$509,$B53)-SUMIFS($W$64:$W$509,$B$64:$B$509,$B53)</f>
        <v>-21</v>
      </c>
      <c r="O53" s="80">
        <f>SUMIFS($X$64:$X$509,$B$64:$B$509,$B53)</f>
        <v>204</v>
      </c>
      <c r="P53" s="80">
        <f t="shared" si="42"/>
        <v>865.22832841953959</v>
      </c>
      <c r="Q53" s="80">
        <f>SUMIFS($Z$64:$Z$509,$B$64:$B$509,$B53)+SUMIFS($Y$64:$Y$509,$B$64:$B$509,$B53)</f>
        <v>-18041.667565523683</v>
      </c>
      <c r="R53" s="80">
        <f>SUMIFS($AA$64:$AA$509,$B$64:$B$509,$B53)</f>
        <v>176506.57899758607</v>
      </c>
      <c r="S53" s="97">
        <f>SUMIFS($AD$64:$AD$509,$B$64:$B$509,$B53)-SUMIFS($AE$64:$AE$509,$B$64:$B$509,$B53)</f>
        <v>-6</v>
      </c>
      <c r="T53" s="80">
        <f>SUMIFS($AF$64:$AF$509,$B$64:$B$509,$B53)</f>
        <v>198</v>
      </c>
      <c r="U53" s="80">
        <f t="shared" si="43"/>
        <v>937.13925060269742</v>
      </c>
      <c r="V53" s="80">
        <f>SUMIFS($AH$64:$AH$509,$B$64:$B$509,$B53)+SUMIFS($AG$64:$AG$509,$B$64:$B$509,$B53)</f>
        <v>-5893.1271480370797</v>
      </c>
      <c r="W53" s="98">
        <f>SUMIFS($AI$64:$AI$509,$B$64:$B$509,$B53)</f>
        <v>185553.57161933408</v>
      </c>
      <c r="X53" s="80">
        <f>SUMIFS($AL$64:$AL$509,$B$64:$B$509,$B53)-SUMIFS($AM$64:$AM$509,$B$64:$B$509,$B53)</f>
        <v>0</v>
      </c>
      <c r="Y53" s="80">
        <f>SUMIFS($AN$64:$AN$509,$B$64:$B$509,$B53)</f>
        <v>198</v>
      </c>
      <c r="Z53" s="80">
        <f t="shared" si="44"/>
        <v>1014.5625683881261</v>
      </c>
      <c r="AA53" s="80">
        <f>SUMIFS($AP$64:$AP$509,$B$64:$B$509,$B53)+SUMIFS($AO$64:$AO$509,$B$64:$B$509,$B53)</f>
        <v>0</v>
      </c>
      <c r="AB53" s="98">
        <f>SUMIFS($AQ$64:$AQ$509,$B$64:$B$509,$B53)</f>
        <v>200883.38854084897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82</v>
      </c>
      <c r="G54" s="192">
        <f t="shared" si="40"/>
        <v>1091.060975609756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89467</v>
      </c>
      <c r="I54" s="97">
        <f>SUMIFS($N$64:$N$509,$B$64:$B$509,$B54)-SUMIFS($O$64:$O$509,$B$64:$B$509,$B54)</f>
        <v>16</v>
      </c>
      <c r="J54" s="80">
        <f>SUMIFS($P$64:$P$509,$B$64:$B$509,$B54)</f>
        <v>98</v>
      </c>
      <c r="K54" s="80">
        <f t="shared" si="41"/>
        <v>1167.1440325553906</v>
      </c>
      <c r="L54" s="80">
        <f>SUMIFS($R$64:$R$509,$B$64:$B$509,$B54)+SUMIFS($Q$64:$Q$509,$B$64:$B$509,$B54)</f>
        <v>20612.87912227766</v>
      </c>
      <c r="M54" s="98">
        <f>SUMIFS($S$64:$S$509,$B$64:$B$509,$B54)</f>
        <v>114380.11519042829</v>
      </c>
      <c r="N54" s="80">
        <f>SUMIFS($V$64:$V$509,$B$64:$B$509,$B54)-SUMIFS($W$64:$W$509,$B$64:$B$509,$B54)</f>
        <v>0</v>
      </c>
      <c r="O54" s="80">
        <f>SUMIFS($X$64:$X$509,$B$64:$B$509,$B54)</f>
        <v>98</v>
      </c>
      <c r="P54" s="80">
        <f t="shared" si="42"/>
        <v>1255.2252455428577</v>
      </c>
      <c r="Q54" s="80">
        <f>SUMIFS($Z$64:$Z$509,$B$64:$B$509,$B54)+SUMIFS($Y$64:$Y$509,$B$64:$B$509,$B54)</f>
        <v>0</v>
      </c>
      <c r="R54" s="80">
        <f>SUMIFS($AA$64:$AA$509,$B$64:$B$509,$B54)</f>
        <v>123012.07406320005</v>
      </c>
      <c r="S54" s="97">
        <f>SUMIFS($AD$64:$AD$509,$B$64:$B$509,$B54)-SUMIFS($AE$64:$AE$509,$B$64:$B$509,$B54)</f>
        <v>-8</v>
      </c>
      <c r="T54" s="80">
        <f>SUMIFS($AF$64:$AF$509,$B$64:$B$509,$B54)</f>
        <v>90</v>
      </c>
      <c r="U54" s="80">
        <f t="shared" si="43"/>
        <v>1365.2487816132116</v>
      </c>
      <c r="V54" s="80">
        <f>SUMIFS($AH$64:$AH$509,$B$64:$B$509,$B54)+SUMIFS($AG$64:$AG$509,$B$64:$B$509,$B54)</f>
        <v>-9298.2720216329435</v>
      </c>
      <c r="W54" s="98">
        <f>SUMIFS($AI$64:$AI$509,$B$64:$B$509,$B54)</f>
        <v>122872.39034518904</v>
      </c>
      <c r="X54" s="80">
        <f>SUMIFS($AL$64:$AL$509,$B$64:$B$509,$B54)-SUMIFS($AM$64:$AM$509,$B$64:$B$509,$B54)</f>
        <v>-1</v>
      </c>
      <c r="Y54" s="80">
        <f>SUMIFS($AN$64:$AN$509,$B$64:$B$509,$B54)</f>
        <v>89</v>
      </c>
      <c r="Z54" s="80">
        <f t="shared" si="44"/>
        <v>1462.2563404632251</v>
      </c>
      <c r="AA54" s="80">
        <f>SUMIFS($AP$64:$AP$509,$B$64:$B$509,$B54)+SUMIFS($AO$64:$AO$509,$B$64:$B$509,$B54)</f>
        <v>-1629.818612914951</v>
      </c>
      <c r="AB54" s="98">
        <f>SUMIFS($AQ$64:$AQ$509,$B$64:$B$509,$B54)</f>
        <v>130140.81430122704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1125</v>
      </c>
      <c r="G56" s="92">
        <f t="shared" ref="G56" si="45">IFERROR(H56/F56,0)</f>
        <v>467.79094120888885</v>
      </c>
      <c r="H56" s="92">
        <f>SUM(H51:H55)</f>
        <v>526264.80885999999</v>
      </c>
      <c r="I56" s="92">
        <f>SUM(I51:I55)</f>
        <v>46</v>
      </c>
      <c r="J56" s="92">
        <f>SUM(J51:J55)</f>
        <v>1171</v>
      </c>
      <c r="K56" s="92">
        <f t="shared" si="41"/>
        <v>512.4867851346288</v>
      </c>
      <c r="L56" s="92">
        <f>SUM(L51:L55)</f>
        <v>33607.297357466261</v>
      </c>
      <c r="M56" s="92">
        <f>SUM(M51:M55)</f>
        <v>600122.02539265028</v>
      </c>
      <c r="N56" s="92">
        <f t="shared" ref="N56:O56" si="46">SUM(N51:N55)</f>
        <v>-93</v>
      </c>
      <c r="O56" s="92">
        <f t="shared" si="46"/>
        <v>1078</v>
      </c>
      <c r="P56" s="92">
        <f>IFERROR(R56/O56,0)</f>
        <v>562.03764632658874</v>
      </c>
      <c r="Q56" s="92">
        <f t="shared" ref="Q56" si="47">SUM(Q51:Q55)</f>
        <v>-44307.270132415913</v>
      </c>
      <c r="R56" s="92">
        <f t="shared" ref="R56:T56" si="48">SUM(R51:R55)</f>
        <v>605876.58274006261</v>
      </c>
      <c r="S56" s="92">
        <f t="shared" si="48"/>
        <v>-26</v>
      </c>
      <c r="T56" s="92">
        <f t="shared" si="48"/>
        <v>1052</v>
      </c>
      <c r="U56" s="92">
        <f>IFERROR(W56/T56,0)</f>
        <v>601.29986468878258</v>
      </c>
      <c r="V56" s="92">
        <f t="shared" ref="V56" si="49">SUM(V51:V55)</f>
        <v>-23165.295305075982</v>
      </c>
      <c r="W56" s="92">
        <f t="shared" ref="W56:Y56" si="50">SUM(W51:W55)</f>
        <v>632567.45765259932</v>
      </c>
      <c r="X56" s="92">
        <f t="shared" si="50"/>
        <v>-2</v>
      </c>
      <c r="Y56" s="92">
        <f t="shared" si="50"/>
        <v>1050</v>
      </c>
      <c r="Z56" s="92">
        <f>IFERROR(AB56/Y56,0)</f>
        <v>648.67365335003603</v>
      </c>
      <c r="AA56" s="92">
        <f t="shared" ref="AA56" si="51">SUM(AA51:AA55)</f>
        <v>-2280.5053905336863</v>
      </c>
      <c r="AB56" s="104">
        <f t="shared" ref="AB56" si="52">SUM(AB51:AB55)</f>
        <v>681107.33601753786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1041.8823600000001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37</v>
      </c>
      <c r="G67" s="35">
        <f>SUMIFS(WORKING!$AC$3:$AC$6802,WORKING!$A$3:$A$6802,Results!$D$3,WORKING!$B$3:$B$6802,Results!A67,WORKING!$C$3:$C$6802,Results!C67)/1000</f>
        <v>7360.145199999999</v>
      </c>
      <c r="H67" s="35">
        <f t="shared" si="60"/>
        <v>198.92284324324322</v>
      </c>
      <c r="I67" s="187">
        <v>37</v>
      </c>
      <c r="J67" s="212">
        <v>7360</v>
      </c>
      <c r="K67" s="217">
        <f t="shared" si="61"/>
        <v>198.91891891891891</v>
      </c>
      <c r="L67" s="34">
        <f t="shared" si="54"/>
        <v>37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216.0495726180242</v>
      </c>
      <c r="N67" s="57">
        <v>1</v>
      </c>
      <c r="O67" s="57">
        <v>0</v>
      </c>
      <c r="P67" s="61">
        <f t="shared" si="55"/>
        <v>38</v>
      </c>
      <c r="Q67" s="40">
        <f t="shared" si="62"/>
        <v>216.0495726180242</v>
      </c>
      <c r="R67" s="40">
        <f t="shared" si="63"/>
        <v>0</v>
      </c>
      <c r="S67" s="44">
        <f t="shared" si="64"/>
        <v>8209.8837594849192</v>
      </c>
      <c r="T67" s="35">
        <f t="shared" si="65"/>
        <v>38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234.2693640331108</v>
      </c>
      <c r="V67" s="57">
        <v>0</v>
      </c>
      <c r="W67" s="57">
        <v>29</v>
      </c>
      <c r="X67" s="61">
        <f t="shared" si="56"/>
        <v>9</v>
      </c>
      <c r="Y67" s="40">
        <f t="shared" si="66"/>
        <v>0</v>
      </c>
      <c r="Z67" s="40">
        <f t="shared" si="67"/>
        <v>-6793.8115569602132</v>
      </c>
      <c r="AA67" s="44">
        <f t="shared" si="68"/>
        <v>2108.424276297997</v>
      </c>
      <c r="AB67" s="35">
        <f t="shared" si="69"/>
        <v>9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253.78834841005093</v>
      </c>
      <c r="AD67" s="57">
        <v>0</v>
      </c>
      <c r="AE67" s="57">
        <v>0</v>
      </c>
      <c r="AF67" s="61">
        <f t="shared" si="57"/>
        <v>9</v>
      </c>
      <c r="AG67" s="40">
        <f t="shared" si="70"/>
        <v>0</v>
      </c>
      <c r="AH67" s="40">
        <f t="shared" si="71"/>
        <v>0</v>
      </c>
      <c r="AI67" s="44">
        <f t="shared" si="72"/>
        <v>2284.0951356904584</v>
      </c>
      <c r="AJ67" s="35">
        <f t="shared" si="58"/>
        <v>9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274.41946175641181</v>
      </c>
      <c r="AL67" s="57">
        <v>0</v>
      </c>
      <c r="AM67" s="57">
        <v>0</v>
      </c>
      <c r="AN67" s="61">
        <f t="shared" si="59"/>
        <v>9</v>
      </c>
      <c r="AO67" s="40">
        <f t="shared" si="73"/>
        <v>0</v>
      </c>
      <c r="AP67" s="40">
        <f t="shared" si="74"/>
        <v>0</v>
      </c>
      <c r="AQ67" s="44">
        <f t="shared" si="75"/>
        <v>2469.7751558077061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68</v>
      </c>
      <c r="G68" s="35">
        <f>SUMIFS(WORKING!$AC$3:$AC$6802,WORKING!$A$3:$A$6802,Results!$D$3,WORKING!$B$3:$B$6802,Results!A68,WORKING!$C$3:$C$6802,Results!C68)/1000</f>
        <v>15110.15473</v>
      </c>
      <c r="H68" s="35">
        <f t="shared" si="60"/>
        <v>222.20815779411765</v>
      </c>
      <c r="I68" s="187">
        <v>67</v>
      </c>
      <c r="J68" s="212">
        <v>15307</v>
      </c>
      <c r="K68" s="217">
        <f t="shared" si="61"/>
        <v>228.46268656716418</v>
      </c>
      <c r="L68" s="34">
        <f t="shared" si="54"/>
        <v>67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248.2658906288305</v>
      </c>
      <c r="N68" s="57">
        <v>0</v>
      </c>
      <c r="O68" s="57">
        <v>0</v>
      </c>
      <c r="P68" s="61">
        <f t="shared" si="55"/>
        <v>67</v>
      </c>
      <c r="Q68" s="40">
        <f t="shared" si="62"/>
        <v>0</v>
      </c>
      <c r="R68" s="40">
        <f t="shared" si="63"/>
        <v>0</v>
      </c>
      <c r="S68" s="44">
        <f t="shared" si="64"/>
        <v>16633.814672131644</v>
      </c>
      <c r="T68" s="35">
        <f t="shared" si="65"/>
        <v>67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269.24154159254755</v>
      </c>
      <c r="V68" s="57">
        <v>0</v>
      </c>
      <c r="W68" s="57">
        <v>16</v>
      </c>
      <c r="X68" s="61">
        <f t="shared" si="56"/>
        <v>51</v>
      </c>
      <c r="Y68" s="40">
        <f t="shared" si="66"/>
        <v>0</v>
      </c>
      <c r="Z68" s="40">
        <f t="shared" si="67"/>
        <v>-4307.8646654807608</v>
      </c>
      <c r="AA68" s="44">
        <f t="shared" si="68"/>
        <v>13731.318621219925</v>
      </c>
      <c r="AB68" s="35">
        <f t="shared" si="69"/>
        <v>51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291.71664926799366</v>
      </c>
      <c r="AD68" s="57">
        <v>0</v>
      </c>
      <c r="AE68" s="57">
        <v>0</v>
      </c>
      <c r="AF68" s="61">
        <f t="shared" si="57"/>
        <v>51</v>
      </c>
      <c r="AG68" s="40">
        <f t="shared" si="70"/>
        <v>0</v>
      </c>
      <c r="AH68" s="40">
        <f t="shared" si="71"/>
        <v>0</v>
      </c>
      <c r="AI68" s="44">
        <f t="shared" si="72"/>
        <v>14877.549112667677</v>
      </c>
      <c r="AJ68" s="35">
        <f t="shared" si="58"/>
        <v>51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315.47684954080546</v>
      </c>
      <c r="AL68" s="57">
        <v>0</v>
      </c>
      <c r="AM68" s="57">
        <v>0</v>
      </c>
      <c r="AN68" s="61">
        <f t="shared" si="59"/>
        <v>51</v>
      </c>
      <c r="AO68" s="40">
        <f t="shared" si="73"/>
        <v>0</v>
      </c>
      <c r="AP68" s="40">
        <f t="shared" si="74"/>
        <v>0</v>
      </c>
      <c r="AQ68" s="44">
        <f t="shared" si="75"/>
        <v>16089.319326581079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26</v>
      </c>
      <c r="G69" s="35">
        <f>SUMIFS(WORKING!$AC$3:$AC$6802,WORKING!$A$3:$A$6802,Results!$D$3,WORKING!$B$3:$B$6802,Results!A69,WORKING!$C$3:$C$6802,Results!C69)/1000</f>
        <v>6716.9148399999995</v>
      </c>
      <c r="H69" s="35">
        <f t="shared" si="60"/>
        <v>258.34287846153842</v>
      </c>
      <c r="I69" s="187">
        <v>26</v>
      </c>
      <c r="J69" s="212">
        <v>6717</v>
      </c>
      <c r="K69" s="217">
        <f t="shared" si="61"/>
        <v>258.34615384615387</v>
      </c>
      <c r="L69" s="34">
        <f t="shared" si="54"/>
        <v>26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280.88802342553259</v>
      </c>
      <c r="N69" s="57">
        <v>1</v>
      </c>
      <c r="O69" s="57">
        <v>0</v>
      </c>
      <c r="P69" s="61">
        <f t="shared" si="55"/>
        <v>27</v>
      </c>
      <c r="Q69" s="40">
        <f t="shared" si="62"/>
        <v>280.88802342553259</v>
      </c>
      <c r="R69" s="40">
        <f t="shared" si="63"/>
        <v>0</v>
      </c>
      <c r="S69" s="44">
        <f t="shared" si="64"/>
        <v>7583.9766324893799</v>
      </c>
      <c r="T69" s="35">
        <f t="shared" si="65"/>
        <v>27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304.66749784767205</v>
      </c>
      <c r="V69" s="57">
        <v>0</v>
      </c>
      <c r="W69" s="57">
        <v>2</v>
      </c>
      <c r="X69" s="61">
        <f t="shared" si="56"/>
        <v>25</v>
      </c>
      <c r="Y69" s="40">
        <f t="shared" si="66"/>
        <v>0</v>
      </c>
      <c r="Z69" s="40">
        <f t="shared" si="67"/>
        <v>-609.33499569534411</v>
      </c>
      <c r="AA69" s="44">
        <f t="shared" si="68"/>
        <v>7616.6874461918014</v>
      </c>
      <c r="AB69" s="35">
        <f t="shared" si="69"/>
        <v>25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330.15133190035391</v>
      </c>
      <c r="AD69" s="57">
        <v>0</v>
      </c>
      <c r="AE69" s="57">
        <v>0</v>
      </c>
      <c r="AF69" s="61">
        <f t="shared" si="57"/>
        <v>25</v>
      </c>
      <c r="AG69" s="40">
        <f t="shared" si="70"/>
        <v>0</v>
      </c>
      <c r="AH69" s="40">
        <f t="shared" si="71"/>
        <v>0</v>
      </c>
      <c r="AI69" s="44">
        <f t="shared" si="72"/>
        <v>8253.7832975088477</v>
      </c>
      <c r="AJ69" s="35">
        <f t="shared" si="58"/>
        <v>25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357.09756530921726</v>
      </c>
      <c r="AL69" s="57">
        <v>0</v>
      </c>
      <c r="AM69" s="57">
        <v>0</v>
      </c>
      <c r="AN69" s="61">
        <f t="shared" si="59"/>
        <v>25</v>
      </c>
      <c r="AO69" s="40">
        <f t="shared" si="73"/>
        <v>0</v>
      </c>
      <c r="AP69" s="40">
        <f t="shared" si="74"/>
        <v>0</v>
      </c>
      <c r="AQ69" s="44">
        <f t="shared" si="75"/>
        <v>8927.4391327304311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56</v>
      </c>
      <c r="G70" s="35">
        <f>SUMIFS(WORKING!$AC$3:$AC$6802,WORKING!$A$3:$A$6802,Results!$D$3,WORKING!$B$3:$B$6802,Results!A70,WORKING!$C$3:$C$6802,Results!C70)/1000</f>
        <v>16221.899839999998</v>
      </c>
      <c r="H70" s="35">
        <f t="shared" si="60"/>
        <v>289.67678285714283</v>
      </c>
      <c r="I70" s="187">
        <v>56</v>
      </c>
      <c r="J70" s="212">
        <v>16222</v>
      </c>
      <c r="K70" s="217">
        <f t="shared" si="61"/>
        <v>289.67857142857144</v>
      </c>
      <c r="L70" s="34">
        <f t="shared" si="54"/>
        <v>56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315.19988881501018</v>
      </c>
      <c r="N70" s="57">
        <v>0</v>
      </c>
      <c r="O70" s="57">
        <v>0</v>
      </c>
      <c r="P70" s="61">
        <f t="shared" si="55"/>
        <v>56</v>
      </c>
      <c r="Q70" s="40">
        <f t="shared" si="62"/>
        <v>0</v>
      </c>
      <c r="R70" s="40">
        <f t="shared" si="63"/>
        <v>0</v>
      </c>
      <c r="S70" s="44">
        <f t="shared" si="64"/>
        <v>17651.193773640571</v>
      </c>
      <c r="T70" s="35">
        <f t="shared" si="65"/>
        <v>56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341.95954687278402</v>
      </c>
      <c r="V70" s="57">
        <v>0</v>
      </c>
      <c r="W70" s="57">
        <v>2</v>
      </c>
      <c r="X70" s="61">
        <f t="shared" si="56"/>
        <v>54</v>
      </c>
      <c r="Y70" s="40">
        <f t="shared" si="66"/>
        <v>0</v>
      </c>
      <c r="Z70" s="40">
        <f t="shared" si="67"/>
        <v>-683.91909374556803</v>
      </c>
      <c r="AA70" s="44">
        <f t="shared" si="68"/>
        <v>18465.815531130338</v>
      </c>
      <c r="AB70" s="35">
        <f t="shared" si="69"/>
        <v>54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370.64441869498052</v>
      </c>
      <c r="AD70" s="57">
        <v>0</v>
      </c>
      <c r="AE70" s="57">
        <v>0</v>
      </c>
      <c r="AF70" s="61">
        <f t="shared" si="57"/>
        <v>54</v>
      </c>
      <c r="AG70" s="40">
        <f t="shared" si="70"/>
        <v>0</v>
      </c>
      <c r="AH70" s="40">
        <f t="shared" si="71"/>
        <v>0</v>
      </c>
      <c r="AI70" s="44">
        <f t="shared" si="72"/>
        <v>20014.798609528949</v>
      </c>
      <c r="AJ70" s="35">
        <f t="shared" si="58"/>
        <v>54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400.98411227346344</v>
      </c>
      <c r="AL70" s="57">
        <v>0</v>
      </c>
      <c r="AM70" s="57">
        <v>0</v>
      </c>
      <c r="AN70" s="61">
        <f t="shared" si="59"/>
        <v>54</v>
      </c>
      <c r="AO70" s="40">
        <f t="shared" si="73"/>
        <v>0</v>
      </c>
      <c r="AP70" s="40">
        <f t="shared" si="74"/>
        <v>0</v>
      </c>
      <c r="AQ70" s="44">
        <f t="shared" si="75"/>
        <v>21653.142062767027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39</v>
      </c>
      <c r="G71" s="35">
        <f>SUMIFS(WORKING!$AC$3:$AC$6802,WORKING!$A$3:$A$6802,Results!$D$3,WORKING!$B$3:$B$6802,Results!A71,WORKING!$C$3:$C$6802,Results!C71)/1000</f>
        <v>14874.241830000001</v>
      </c>
      <c r="H71" s="35">
        <f>IFERROR(G71/F71,0)</f>
        <v>381.39081615384617</v>
      </c>
      <c r="I71" s="187">
        <v>40</v>
      </c>
      <c r="J71" s="212">
        <v>15248</v>
      </c>
      <c r="K71" s="217">
        <f t="shared" si="61"/>
        <v>381.2</v>
      </c>
      <c r="L71" s="34">
        <f t="shared" si="54"/>
        <v>40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415.04541744903202</v>
      </c>
      <c r="N71" s="57">
        <v>0</v>
      </c>
      <c r="O71" s="57">
        <v>0</v>
      </c>
      <c r="P71" s="61">
        <f t="shared" si="55"/>
        <v>40</v>
      </c>
      <c r="Q71" s="40">
        <f t="shared" si="62"/>
        <v>0</v>
      </c>
      <c r="R71" s="40">
        <f t="shared" si="63"/>
        <v>0</v>
      </c>
      <c r="S71" s="44">
        <f t="shared" si="64"/>
        <v>16601.81669796128</v>
      </c>
      <c r="T71" s="35">
        <f t="shared" si="65"/>
        <v>40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450.36247578884326</v>
      </c>
      <c r="V71" s="57">
        <v>0</v>
      </c>
      <c r="W71" s="57">
        <v>1</v>
      </c>
      <c r="X71" s="61">
        <f t="shared" si="56"/>
        <v>39</v>
      </c>
      <c r="Y71" s="40">
        <f t="shared" si="66"/>
        <v>0</v>
      </c>
      <c r="Z71" s="40">
        <f t="shared" si="67"/>
        <v>-450.36247578884326</v>
      </c>
      <c r="AA71" s="44">
        <f t="shared" si="68"/>
        <v>17564.136555764886</v>
      </c>
      <c r="AB71" s="35">
        <f t="shared" si="69"/>
        <v>39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488.22815777613675</v>
      </c>
      <c r="AD71" s="57">
        <v>0</v>
      </c>
      <c r="AE71" s="57">
        <v>0</v>
      </c>
      <c r="AF71" s="61">
        <f t="shared" si="57"/>
        <v>39</v>
      </c>
      <c r="AG71" s="40">
        <f t="shared" si="70"/>
        <v>0</v>
      </c>
      <c r="AH71" s="40">
        <f t="shared" si="71"/>
        <v>0</v>
      </c>
      <c r="AI71" s="44">
        <f t="shared" si="72"/>
        <v>19040.898153269332</v>
      </c>
      <c r="AJ71" s="35">
        <f t="shared" si="58"/>
        <v>39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528.28758985862385</v>
      </c>
      <c r="AL71" s="57">
        <v>0</v>
      </c>
      <c r="AM71" s="57">
        <v>0</v>
      </c>
      <c r="AN71" s="61">
        <f t="shared" si="59"/>
        <v>39</v>
      </c>
      <c r="AO71" s="40">
        <f t="shared" si="73"/>
        <v>0</v>
      </c>
      <c r="AP71" s="40">
        <f t="shared" si="74"/>
        <v>0</v>
      </c>
      <c r="AQ71" s="44">
        <f t="shared" si="75"/>
        <v>20603.21600448633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32</v>
      </c>
      <c r="G72" s="35">
        <f>SUMIFS(WORKING!$AC$3:$AC$6802,WORKING!$A$3:$A$6802,Results!$D$3,WORKING!$B$3:$B$6802,Results!A72,WORKING!$C$3:$C$6802,Results!C72)/1000</f>
        <v>15003.97644</v>
      </c>
      <c r="H72" s="35">
        <f t="shared" si="60"/>
        <v>468.87426375000001</v>
      </c>
      <c r="I72" s="187">
        <v>32</v>
      </c>
      <c r="J72" s="212">
        <v>15004</v>
      </c>
      <c r="K72" s="217">
        <f>IFERROR(IF(J72="",G72,J72)/IF(I72="",F72,I72),"")</f>
        <v>468.875</v>
      </c>
      <c r="L72" s="34">
        <f t="shared" si="54"/>
        <v>32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510.88434433583552</v>
      </c>
      <c r="N72" s="57">
        <v>0</v>
      </c>
      <c r="O72" s="57">
        <v>0</v>
      </c>
      <c r="P72" s="61">
        <f t="shared" si="55"/>
        <v>32</v>
      </c>
      <c r="Q72" s="40">
        <f t="shared" si="62"/>
        <v>0</v>
      </c>
      <c r="R72" s="40">
        <f t="shared" si="63"/>
        <v>0</v>
      </c>
      <c r="S72" s="44">
        <f t="shared" si="64"/>
        <v>16348.299018746737</v>
      </c>
      <c r="T72" s="35">
        <f t="shared" si="65"/>
        <v>32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554.47334673056537</v>
      </c>
      <c r="V72" s="57">
        <v>0</v>
      </c>
      <c r="W72" s="57">
        <v>2</v>
      </c>
      <c r="X72" s="61">
        <f t="shared" si="56"/>
        <v>30</v>
      </c>
      <c r="Y72" s="40">
        <f t="shared" si="66"/>
        <v>0</v>
      </c>
      <c r="Z72" s="40">
        <f t="shared" si="67"/>
        <v>-1108.9466934611307</v>
      </c>
      <c r="AA72" s="44">
        <f t="shared" si="68"/>
        <v>16634.200401916962</v>
      </c>
      <c r="AB72" s="35">
        <f t="shared" si="69"/>
        <v>30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601.2191795660043</v>
      </c>
      <c r="AD72" s="57">
        <v>0</v>
      </c>
      <c r="AE72" s="57">
        <v>0</v>
      </c>
      <c r="AF72" s="61">
        <f t="shared" si="57"/>
        <v>30</v>
      </c>
      <c r="AG72" s="40">
        <f t="shared" si="70"/>
        <v>0</v>
      </c>
      <c r="AH72" s="40">
        <f t="shared" si="71"/>
        <v>0</v>
      </c>
      <c r="AI72" s="44">
        <f t="shared" si="72"/>
        <v>18036.57538698013</v>
      </c>
      <c r="AJ72" s="35">
        <f t="shared" si="58"/>
        <v>30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650.68677761873539</v>
      </c>
      <c r="AL72" s="57">
        <v>0</v>
      </c>
      <c r="AM72" s="57">
        <v>1</v>
      </c>
      <c r="AN72" s="61">
        <f t="shared" si="59"/>
        <v>29</v>
      </c>
      <c r="AO72" s="40">
        <f t="shared" si="73"/>
        <v>0</v>
      </c>
      <c r="AP72" s="40">
        <f t="shared" si="74"/>
        <v>-650.68677761873539</v>
      </c>
      <c r="AQ72" s="44">
        <f t="shared" si="75"/>
        <v>18869.916550943326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25</v>
      </c>
      <c r="G73" s="35">
        <f>SUMIFS(WORKING!$AC$3:$AC$6802,WORKING!$A$3:$A$6802,Results!$D$3,WORKING!$B$3:$B$6802,Results!A73,WORKING!$C$3:$C$6802,Results!C73)/1000</f>
        <v>13532.251410000001</v>
      </c>
      <c r="H73" s="35">
        <f t="shared" si="60"/>
        <v>541.29005640000003</v>
      </c>
      <c r="I73" s="187">
        <v>24</v>
      </c>
      <c r="J73" s="212">
        <v>13532</v>
      </c>
      <c r="K73" s="217">
        <f t="shared" si="61"/>
        <v>563.83333333333337</v>
      </c>
      <c r="L73" s="34">
        <f t="shared" si="54"/>
        <v>24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614.47292391325743</v>
      </c>
      <c r="N73" s="57">
        <v>0</v>
      </c>
      <c r="O73" s="57">
        <v>0</v>
      </c>
      <c r="P73" s="61">
        <f t="shared" si="55"/>
        <v>24</v>
      </c>
      <c r="Q73" s="40">
        <f t="shared" si="62"/>
        <v>0</v>
      </c>
      <c r="R73" s="40">
        <f t="shared" si="63"/>
        <v>0</v>
      </c>
      <c r="S73" s="44">
        <f t="shared" si="64"/>
        <v>14747.350173918177</v>
      </c>
      <c r="T73" s="35">
        <f t="shared" si="65"/>
        <v>24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666.93986457413803</v>
      </c>
      <c r="V73" s="57">
        <v>0</v>
      </c>
      <c r="W73" s="57">
        <v>2</v>
      </c>
      <c r="X73" s="61">
        <f t="shared" si="56"/>
        <v>22</v>
      </c>
      <c r="Y73" s="40">
        <f t="shared" si="66"/>
        <v>0</v>
      </c>
      <c r="Z73" s="40">
        <f t="shared" si="67"/>
        <v>-1333.8797291482761</v>
      </c>
      <c r="AA73" s="44">
        <f t="shared" si="68"/>
        <v>14672.677020631036</v>
      </c>
      <c r="AB73" s="35">
        <f t="shared" si="69"/>
        <v>22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723.21032849069127</v>
      </c>
      <c r="AD73" s="57">
        <v>0</v>
      </c>
      <c r="AE73" s="57">
        <v>0</v>
      </c>
      <c r="AF73" s="61">
        <f t="shared" si="57"/>
        <v>22</v>
      </c>
      <c r="AG73" s="40">
        <f t="shared" si="70"/>
        <v>0</v>
      </c>
      <c r="AH73" s="40">
        <f t="shared" si="71"/>
        <v>0</v>
      </c>
      <c r="AI73" s="44">
        <f t="shared" si="72"/>
        <v>15910.627226795208</v>
      </c>
      <c r="AJ73" s="35">
        <f t="shared" si="58"/>
        <v>22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782.76149848864929</v>
      </c>
      <c r="AL73" s="57">
        <v>0</v>
      </c>
      <c r="AM73" s="57">
        <v>0</v>
      </c>
      <c r="AN73" s="61">
        <f t="shared" si="59"/>
        <v>22</v>
      </c>
      <c r="AO73" s="40">
        <f t="shared" si="73"/>
        <v>0</v>
      </c>
      <c r="AP73" s="40">
        <f t="shared" si="74"/>
        <v>0</v>
      </c>
      <c r="AQ73" s="44">
        <f t="shared" si="75"/>
        <v>17220.752966750286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30</v>
      </c>
      <c r="G74" s="35">
        <f>SUMIFS(WORKING!$AC$3:$AC$6802,WORKING!$A$3:$A$6802,Results!$D$3,WORKING!$B$3:$B$6802,Results!A74,WORKING!$C$3:$C$6802,Results!C74)/1000</f>
        <v>19218.254179999996</v>
      </c>
      <c r="H74" s="35">
        <f t="shared" si="60"/>
        <v>640.60847266666656</v>
      </c>
      <c r="I74" s="187">
        <v>30</v>
      </c>
      <c r="J74" s="212">
        <v>19218</v>
      </c>
      <c r="K74" s="217">
        <f t="shared" si="61"/>
        <v>640.6</v>
      </c>
      <c r="L74" s="34">
        <f t="shared" si="54"/>
        <v>30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699.29480911263749</v>
      </c>
      <c r="N74" s="57">
        <v>0</v>
      </c>
      <c r="O74" s="57">
        <v>0</v>
      </c>
      <c r="P74" s="61">
        <f t="shared" si="55"/>
        <v>30</v>
      </c>
      <c r="Q74" s="40">
        <f t="shared" si="62"/>
        <v>0</v>
      </c>
      <c r="R74" s="40">
        <f t="shared" si="63"/>
        <v>0</v>
      </c>
      <c r="S74" s="44">
        <f t="shared" si="64"/>
        <v>20978.844273379123</v>
      </c>
      <c r="T74" s="35">
        <f t="shared" si="65"/>
        <v>30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759.11081873103365</v>
      </c>
      <c r="V74" s="57">
        <v>0</v>
      </c>
      <c r="W74" s="57">
        <v>6</v>
      </c>
      <c r="X74" s="61">
        <f t="shared" si="56"/>
        <v>24</v>
      </c>
      <c r="Y74" s="40">
        <f t="shared" si="66"/>
        <v>0</v>
      </c>
      <c r="Z74" s="40">
        <f t="shared" si="67"/>
        <v>-4554.6649123862016</v>
      </c>
      <c r="AA74" s="44">
        <f t="shared" si="68"/>
        <v>18218.659649544807</v>
      </c>
      <c r="AB74" s="35">
        <f t="shared" si="69"/>
        <v>24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823.27321313598611</v>
      </c>
      <c r="AD74" s="57">
        <v>0</v>
      </c>
      <c r="AE74" s="57">
        <v>0</v>
      </c>
      <c r="AF74" s="61">
        <f t="shared" si="57"/>
        <v>24</v>
      </c>
      <c r="AG74" s="40">
        <f t="shared" si="70"/>
        <v>0</v>
      </c>
      <c r="AH74" s="40">
        <f t="shared" si="71"/>
        <v>0</v>
      </c>
      <c r="AI74" s="44">
        <f t="shared" si="72"/>
        <v>19758.557115263666</v>
      </c>
      <c r="AJ74" s="35">
        <f t="shared" si="58"/>
        <v>24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891.1883554278777</v>
      </c>
      <c r="AL74" s="57">
        <v>0</v>
      </c>
      <c r="AM74" s="57">
        <v>0</v>
      </c>
      <c r="AN74" s="61">
        <f t="shared" si="59"/>
        <v>24</v>
      </c>
      <c r="AO74" s="40">
        <f t="shared" si="73"/>
        <v>0</v>
      </c>
      <c r="AP74" s="40">
        <f t="shared" si="74"/>
        <v>0</v>
      </c>
      <c r="AQ74" s="44">
        <f t="shared" si="75"/>
        <v>21388.520530269067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15</v>
      </c>
      <c r="G75" s="35">
        <f>SUMIFS(WORKING!$AC$3:$AC$6802,WORKING!$A$3:$A$6802,Results!$D$3,WORKING!$B$3:$B$6802,Results!A75,WORKING!$C$3:$C$6802,Results!C75)/1000</f>
        <v>10981.13149</v>
      </c>
      <c r="H75" s="35">
        <f t="shared" si="60"/>
        <v>732.07543266666664</v>
      </c>
      <c r="I75" s="187">
        <v>16</v>
      </c>
      <c r="J75" s="212">
        <v>11437</v>
      </c>
      <c r="K75" s="217">
        <f t="shared" si="61"/>
        <v>714.8125</v>
      </c>
      <c r="L75" s="34">
        <f t="shared" si="54"/>
        <v>16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780.39878419156537</v>
      </c>
      <c r="N75" s="57">
        <v>0</v>
      </c>
      <c r="O75" s="57">
        <v>0</v>
      </c>
      <c r="P75" s="61">
        <f t="shared" si="55"/>
        <v>16</v>
      </c>
      <c r="Q75" s="40">
        <f t="shared" si="62"/>
        <v>0</v>
      </c>
      <c r="R75" s="40">
        <f t="shared" si="63"/>
        <v>0</v>
      </c>
      <c r="S75" s="44">
        <f t="shared" si="64"/>
        <v>12486.380547065046</v>
      </c>
      <c r="T75" s="35">
        <f t="shared" si="65"/>
        <v>16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847.25187017211863</v>
      </c>
      <c r="V75" s="57">
        <v>0</v>
      </c>
      <c r="W75" s="57">
        <v>6</v>
      </c>
      <c r="X75" s="61">
        <f t="shared" si="56"/>
        <v>10</v>
      </c>
      <c r="Y75" s="40">
        <f t="shared" si="66"/>
        <v>0</v>
      </c>
      <c r="Z75" s="40">
        <f t="shared" si="67"/>
        <v>-5083.5112210327115</v>
      </c>
      <c r="AA75" s="44">
        <f t="shared" si="68"/>
        <v>8472.5187017211865</v>
      </c>
      <c r="AB75" s="35">
        <f t="shared" si="69"/>
        <v>10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918.97228894026466</v>
      </c>
      <c r="AD75" s="57">
        <v>0</v>
      </c>
      <c r="AE75" s="57">
        <v>0</v>
      </c>
      <c r="AF75" s="61">
        <f t="shared" si="57"/>
        <v>10</v>
      </c>
      <c r="AG75" s="40">
        <f t="shared" si="70"/>
        <v>0</v>
      </c>
      <c r="AH75" s="40">
        <f t="shared" si="71"/>
        <v>0</v>
      </c>
      <c r="AI75" s="44">
        <f t="shared" si="72"/>
        <v>9189.7228894026466</v>
      </c>
      <c r="AJ75" s="35">
        <f t="shared" si="58"/>
        <v>10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994.89903461876816</v>
      </c>
      <c r="AL75" s="57">
        <v>0</v>
      </c>
      <c r="AM75" s="57">
        <v>0</v>
      </c>
      <c r="AN75" s="61">
        <f t="shared" si="59"/>
        <v>10</v>
      </c>
      <c r="AO75" s="40">
        <f t="shared" si="73"/>
        <v>0</v>
      </c>
      <c r="AP75" s="40">
        <f t="shared" si="74"/>
        <v>0</v>
      </c>
      <c r="AQ75" s="44">
        <f t="shared" si="75"/>
        <v>9948.990346187682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23</v>
      </c>
      <c r="G76" s="35">
        <f>SUMIFS(WORKING!$AC$3:$AC$6802,WORKING!$A$3:$A$6802,Results!$D$3,WORKING!$B$3:$B$6802,Results!A76,WORKING!$C$3:$C$6802,Results!C76)/1000</f>
        <v>22068.84244</v>
      </c>
      <c r="H76" s="35">
        <f t="shared" si="60"/>
        <v>959.51488869565219</v>
      </c>
      <c r="I76" s="187">
        <v>23</v>
      </c>
      <c r="J76" s="212">
        <v>22069</v>
      </c>
      <c r="K76" s="217">
        <f t="shared" si="61"/>
        <v>959.52173913043475</v>
      </c>
      <c r="L76" s="34">
        <f t="shared" si="54"/>
        <v>23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1005.7118603204636</v>
      </c>
      <c r="N76" s="57">
        <v>3</v>
      </c>
      <c r="O76" s="57">
        <v>0</v>
      </c>
      <c r="P76" s="61">
        <f t="shared" si="55"/>
        <v>26</v>
      </c>
      <c r="Q76" s="40">
        <f t="shared" si="62"/>
        <v>3017.135580961391</v>
      </c>
      <c r="R76" s="40">
        <f t="shared" si="63"/>
        <v>0</v>
      </c>
      <c r="S76" s="44">
        <f t="shared" si="64"/>
        <v>26148.508368332055</v>
      </c>
      <c r="T76" s="35">
        <f t="shared" si="65"/>
        <v>26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1081.6776808571419</v>
      </c>
      <c r="V76" s="57">
        <v>0</v>
      </c>
      <c r="W76" s="57">
        <v>0</v>
      </c>
      <c r="X76" s="61">
        <f t="shared" si="56"/>
        <v>26</v>
      </c>
      <c r="Y76" s="40">
        <f t="shared" si="66"/>
        <v>0</v>
      </c>
      <c r="Z76" s="40">
        <f t="shared" si="67"/>
        <v>0</v>
      </c>
      <c r="AA76" s="44">
        <f t="shared" si="68"/>
        <v>28123.61970228569</v>
      </c>
      <c r="AB76" s="35">
        <f t="shared" si="69"/>
        <v>26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1162.2840027041179</v>
      </c>
      <c r="AD76" s="57">
        <v>0</v>
      </c>
      <c r="AE76" s="57">
        <v>8</v>
      </c>
      <c r="AF76" s="61">
        <f t="shared" si="57"/>
        <v>18</v>
      </c>
      <c r="AG76" s="40">
        <f t="shared" si="70"/>
        <v>0</v>
      </c>
      <c r="AH76" s="40">
        <f t="shared" si="71"/>
        <v>-9298.2720216329435</v>
      </c>
      <c r="AI76" s="44">
        <f t="shared" si="72"/>
        <v>20921.112048674124</v>
      </c>
      <c r="AJ76" s="35">
        <f t="shared" si="58"/>
        <v>18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1246.5384506567614</v>
      </c>
      <c r="AL76" s="57">
        <v>0</v>
      </c>
      <c r="AM76" s="57">
        <v>0</v>
      </c>
      <c r="AN76" s="61">
        <f t="shared" si="59"/>
        <v>18</v>
      </c>
      <c r="AO76" s="40">
        <f t="shared" si="73"/>
        <v>0</v>
      </c>
      <c r="AP76" s="40">
        <f t="shared" si="74"/>
        <v>0</v>
      </c>
      <c r="AQ76" s="44">
        <f t="shared" si="75"/>
        <v>22437.692111821703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7</v>
      </c>
      <c r="G77" s="35">
        <f>SUMIFS(WORKING!$AC$3:$AC$6802,WORKING!$A$3:$A$6802,Results!$D$3,WORKING!$B$3:$B$6802,Results!A77,WORKING!$C$3:$C$6802,Results!C77)/1000</f>
        <v>7524.2657900000004</v>
      </c>
      <c r="H77" s="35">
        <f t="shared" si="60"/>
        <v>1074.895112857143</v>
      </c>
      <c r="I77" s="187">
        <v>6</v>
      </c>
      <c r="J77" s="212">
        <v>7524</v>
      </c>
      <c r="K77" s="217">
        <f t="shared" si="61"/>
        <v>1254</v>
      </c>
      <c r="L77" s="34">
        <f t="shared" si="54"/>
        <v>6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1314.5103460983501</v>
      </c>
      <c r="N77" s="57">
        <v>2</v>
      </c>
      <c r="O77" s="57">
        <v>0</v>
      </c>
      <c r="P77" s="61">
        <f t="shared" si="55"/>
        <v>8</v>
      </c>
      <c r="Q77" s="40">
        <f t="shared" si="62"/>
        <v>2629.0206921967001</v>
      </c>
      <c r="R77" s="40">
        <f t="shared" si="63"/>
        <v>0</v>
      </c>
      <c r="S77" s="44">
        <f t="shared" si="64"/>
        <v>10516.0827687868</v>
      </c>
      <c r="T77" s="35">
        <f t="shared" si="65"/>
        <v>8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1413.9564213487456</v>
      </c>
      <c r="V77" s="57">
        <v>0</v>
      </c>
      <c r="W77" s="57">
        <v>0</v>
      </c>
      <c r="X77" s="61">
        <f t="shared" si="56"/>
        <v>8</v>
      </c>
      <c r="Y77" s="40">
        <f t="shared" si="66"/>
        <v>0</v>
      </c>
      <c r="Z77" s="40">
        <f t="shared" si="67"/>
        <v>0</v>
      </c>
      <c r="AA77" s="44">
        <f t="shared" si="68"/>
        <v>11311.651370789965</v>
      </c>
      <c r="AB77" s="35">
        <f t="shared" si="69"/>
        <v>8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1519.4910112523075</v>
      </c>
      <c r="AD77" s="57">
        <v>0</v>
      </c>
      <c r="AE77" s="57">
        <v>0</v>
      </c>
      <c r="AF77" s="61">
        <f t="shared" si="57"/>
        <v>8</v>
      </c>
      <c r="AG77" s="40">
        <f t="shared" si="70"/>
        <v>0</v>
      </c>
      <c r="AH77" s="40">
        <f t="shared" si="71"/>
        <v>0</v>
      </c>
      <c r="AI77" s="44">
        <f t="shared" si="72"/>
        <v>12155.92809001846</v>
      </c>
      <c r="AJ77" s="35">
        <f t="shared" si="58"/>
        <v>8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1629.818612914951</v>
      </c>
      <c r="AL77" s="57">
        <v>0</v>
      </c>
      <c r="AM77" s="57">
        <v>1</v>
      </c>
      <c r="AN77" s="61">
        <f t="shared" si="59"/>
        <v>7</v>
      </c>
      <c r="AO77" s="40">
        <f t="shared" si="73"/>
        <v>0</v>
      </c>
      <c r="AP77" s="40">
        <f t="shared" si="74"/>
        <v>-1629.818612914951</v>
      </c>
      <c r="AQ77" s="44">
        <f t="shared" si="75"/>
        <v>11408.730290404657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3301.74323</v>
      </c>
      <c r="H78" s="35">
        <f t="shared" si="60"/>
        <v>1100.5810766666666</v>
      </c>
      <c r="I78" s="187">
        <v>3</v>
      </c>
      <c r="J78" s="212">
        <v>3484</v>
      </c>
      <c r="K78" s="217">
        <f t="shared" si="61"/>
        <v>1161.3333333333333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1217.3295519579829</v>
      </c>
      <c r="N78" s="57">
        <v>0</v>
      </c>
      <c r="O78" s="57">
        <v>0</v>
      </c>
      <c r="P78" s="61">
        <f t="shared" si="55"/>
        <v>3</v>
      </c>
      <c r="Q78" s="40">
        <f t="shared" si="62"/>
        <v>0</v>
      </c>
      <c r="R78" s="40">
        <f t="shared" si="63"/>
        <v>0</v>
      </c>
      <c r="S78" s="44">
        <f t="shared" si="64"/>
        <v>3651.9886558739486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1309.3778270748733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3928.1334812246196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1407.0576586879274</v>
      </c>
      <c r="AD78" s="57">
        <v>0</v>
      </c>
      <c r="AE78" s="57">
        <v>0</v>
      </c>
      <c r="AF78" s="61">
        <f t="shared" si="57"/>
        <v>3</v>
      </c>
      <c r="AG78" s="40">
        <f t="shared" si="70"/>
        <v>0</v>
      </c>
      <c r="AH78" s="40">
        <f t="shared" si="71"/>
        <v>0</v>
      </c>
      <c r="AI78" s="44">
        <f t="shared" si="72"/>
        <v>4221.1729760637827</v>
      </c>
      <c r="AJ78" s="35">
        <f t="shared" si="58"/>
        <v>3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1509.1688538635854</v>
      </c>
      <c r="AL78" s="57">
        <v>0</v>
      </c>
      <c r="AM78" s="57">
        <v>0</v>
      </c>
      <c r="AN78" s="61">
        <f t="shared" si="59"/>
        <v>3</v>
      </c>
      <c r="AO78" s="40">
        <f t="shared" si="73"/>
        <v>0</v>
      </c>
      <c r="AP78" s="40">
        <f t="shared" si="74"/>
        <v>0</v>
      </c>
      <c r="AQ78" s="44">
        <f t="shared" si="75"/>
        <v>4527.5065615907561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6838.2645900000016</v>
      </c>
      <c r="H79" s="35">
        <f t="shared" si="60"/>
        <v>3419.1322950000008</v>
      </c>
      <c r="I79" s="187">
        <v>2</v>
      </c>
      <c r="J79" s="212">
        <v>6838</v>
      </c>
      <c r="K79" s="217">
        <f t="shared" si="61"/>
        <v>3419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3584.4095047934929</v>
      </c>
      <c r="N79" s="57">
        <v>1</v>
      </c>
      <c r="O79" s="57">
        <v>0</v>
      </c>
      <c r="P79" s="61">
        <f t="shared" si="55"/>
        <v>3</v>
      </c>
      <c r="Q79" s="40">
        <f t="shared" si="62"/>
        <v>3584.4095047934929</v>
      </c>
      <c r="R79" s="40">
        <f t="shared" si="63"/>
        <v>0</v>
      </c>
      <c r="S79" s="44">
        <f t="shared" si="64"/>
        <v>10753.228514380478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3856.0413598789441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11568.124079636833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4144.3444279686701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12433.03328390601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4445.7908412834322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13337.372523850296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363</v>
      </c>
      <c r="G84" s="41">
        <f>SUM(G64:G83)</f>
        <v>159793.96836999999</v>
      </c>
      <c r="H84" s="41">
        <f>IFERROR(G84/F84,0)</f>
        <v>440.20376961432504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362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161001.88235999999</v>
      </c>
      <c r="K84" s="41">
        <f>IFERROR(J84/I84,"")</f>
        <v>444.75658110497233</v>
      </c>
      <c r="L84" s="41">
        <f>SUM(L64:L83)</f>
        <v>362</v>
      </c>
      <c r="M84" s="41">
        <f>IFERROR(S84/P84,0)</f>
        <v>492.73342663835189</v>
      </c>
      <c r="N84" s="41">
        <f t="shared" ref="N84:T84" si="98">SUM(N64:N83)</f>
        <v>8</v>
      </c>
      <c r="O84" s="41">
        <f t="shared" si="98"/>
        <v>0</v>
      </c>
      <c r="P84" s="41">
        <f t="shared" si="98"/>
        <v>370</v>
      </c>
      <c r="Q84" s="41">
        <f t="shared" si="98"/>
        <v>9727.5033739951414</v>
      </c>
      <c r="R84" s="41">
        <f t="shared" si="98"/>
        <v>0</v>
      </c>
      <c r="S84" s="45">
        <f t="shared" si="98"/>
        <v>182311.36785619019</v>
      </c>
      <c r="T84" s="41">
        <f t="shared" si="98"/>
        <v>370</v>
      </c>
      <c r="U84" s="41">
        <f>IFERROR(AA84/X84,0)</f>
        <v>567.15778565248695</v>
      </c>
      <c r="V84" s="41">
        <f t="shared" ref="V84:AB84" si="99">SUM(V64:V83)</f>
        <v>0</v>
      </c>
      <c r="W84" s="41">
        <f t="shared" si="99"/>
        <v>66</v>
      </c>
      <c r="X84" s="41">
        <f t="shared" si="99"/>
        <v>304</v>
      </c>
      <c r="Y84" s="41">
        <f t="shared" si="99"/>
        <v>0</v>
      </c>
      <c r="Z84" s="41">
        <f t="shared" si="99"/>
        <v>-24926.29534369905</v>
      </c>
      <c r="AA84" s="45">
        <f t="shared" si="99"/>
        <v>172415.96683835602</v>
      </c>
      <c r="AB84" s="41">
        <f t="shared" si="99"/>
        <v>304</v>
      </c>
      <c r="AC84" s="41">
        <f>IFERROR(AI84/AF84,0)</f>
        <v>598.30355853300421</v>
      </c>
      <c r="AD84" s="41">
        <f t="shared" ref="AD84:AJ84" si="100">SUM(AD64:AD83)</f>
        <v>0</v>
      </c>
      <c r="AE84" s="41">
        <f t="shared" si="100"/>
        <v>8</v>
      </c>
      <c r="AF84" s="41">
        <f t="shared" si="100"/>
        <v>296</v>
      </c>
      <c r="AG84" s="41">
        <f t="shared" si="100"/>
        <v>0</v>
      </c>
      <c r="AH84" s="41">
        <f t="shared" si="100"/>
        <v>-9298.2720216329435</v>
      </c>
      <c r="AI84" s="45">
        <f t="shared" si="100"/>
        <v>177097.85332576925</v>
      </c>
      <c r="AJ84" s="41">
        <f t="shared" si="100"/>
        <v>296</v>
      </c>
      <c r="AK84" s="41">
        <f>IFERROR(AQ84/AN84,0)</f>
        <v>642.45705293942297</v>
      </c>
      <c r="AL84" s="41">
        <f t="shared" ref="AL84:AQ84" si="101">SUM(AL64:AL83)</f>
        <v>0</v>
      </c>
      <c r="AM84" s="41">
        <f t="shared" si="101"/>
        <v>2</v>
      </c>
      <c r="AN84" s="41">
        <f t="shared" si="101"/>
        <v>294</v>
      </c>
      <c r="AO84" s="41">
        <f t="shared" si="101"/>
        <v>0</v>
      </c>
      <c r="AP84" s="41">
        <f t="shared" si="101"/>
        <v>-2280.5053905336863</v>
      </c>
      <c r="AQ84" s="45">
        <f t="shared" si="101"/>
        <v>188882.37356419035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171702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176188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185165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199237.54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-10609.367856190191</v>
      </c>
      <c r="T86" s="39"/>
      <c r="U86" s="39"/>
      <c r="V86" s="53"/>
      <c r="W86" s="53"/>
      <c r="X86" s="110"/>
      <c r="Y86" s="39"/>
      <c r="Z86" s="39"/>
      <c r="AA86" s="54">
        <f>AA85-AA84</f>
        <v>3772.0331616439798</v>
      </c>
      <c r="AB86" s="39"/>
      <c r="AC86" s="53"/>
      <c r="AD86" s="53"/>
      <c r="AE86" s="110"/>
      <c r="AF86" s="39"/>
      <c r="AG86" s="39"/>
      <c r="AH86" s="39"/>
      <c r="AI86" s="54">
        <f>AI85-AI84</f>
        <v>8067.146674230753</v>
      </c>
      <c r="AJ86" s="53"/>
      <c r="AK86" s="53"/>
      <c r="AL86" s="110"/>
      <c r="AM86" s="110"/>
      <c r="AN86" s="110"/>
      <c r="AO86" s="110"/>
      <c r="AP86" s="111"/>
      <c r="AQ86" s="54">
        <f>AQ85-AQ84</f>
        <v>10355.16643580966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Mine Health and Safety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228.14610000000002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-3.9304999999999999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4</v>
      </c>
      <c r="G95" s="35">
        <f>SUMIFS(WORKING!$AC$3:$AC$6802,WORKING!$A$3:$A$6802,Results!$D$3,WORKING!$B$3:$B$6802,Results!A95,WORKING!$C$3:$C$6802,Results!C95)/1000</f>
        <v>650.35993999999994</v>
      </c>
      <c r="H95" s="35">
        <f t="shared" si="108"/>
        <v>162.58998499999998</v>
      </c>
      <c r="I95" s="187">
        <v>4</v>
      </c>
      <c r="J95" s="212">
        <v>650</v>
      </c>
      <c r="K95" s="217">
        <f t="shared" si="109"/>
        <v>162.5</v>
      </c>
      <c r="L95" s="34">
        <f t="shared" si="102"/>
        <v>4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176.24313231733652</v>
      </c>
      <c r="N95" s="57">
        <v>0</v>
      </c>
      <c r="O95" s="57">
        <v>0</v>
      </c>
      <c r="P95" s="61">
        <f t="shared" si="103"/>
        <v>4</v>
      </c>
      <c r="Q95" s="40">
        <f t="shared" si="110"/>
        <v>0</v>
      </c>
      <c r="R95" s="40">
        <f t="shared" si="111"/>
        <v>0</v>
      </c>
      <c r="S95" s="44">
        <f t="shared" si="112"/>
        <v>704.97252926934607</v>
      </c>
      <c r="T95" s="35">
        <f t="shared" si="113"/>
        <v>4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191.03078593238428</v>
      </c>
      <c r="V95" s="57">
        <v>0</v>
      </c>
      <c r="W95" s="57">
        <v>0</v>
      </c>
      <c r="X95" s="61">
        <f t="shared" si="104"/>
        <v>4</v>
      </c>
      <c r="Y95" s="40">
        <f t="shared" si="114"/>
        <v>0</v>
      </c>
      <c r="Z95" s="40">
        <f t="shared" si="115"/>
        <v>0</v>
      </c>
      <c r="AA95" s="44">
        <f t="shared" si="116"/>
        <v>764.12314372953711</v>
      </c>
      <c r="AB95" s="35">
        <f t="shared" si="117"/>
        <v>4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206.86565369418759</v>
      </c>
      <c r="AD95" s="57">
        <v>0</v>
      </c>
      <c r="AE95" s="57">
        <v>0</v>
      </c>
      <c r="AF95" s="61">
        <f t="shared" si="105"/>
        <v>4</v>
      </c>
      <c r="AG95" s="40">
        <f t="shared" si="118"/>
        <v>0</v>
      </c>
      <c r="AH95" s="40">
        <f t="shared" si="119"/>
        <v>0</v>
      </c>
      <c r="AI95" s="44">
        <f t="shared" si="120"/>
        <v>827.46261477675034</v>
      </c>
      <c r="AJ95" s="35">
        <f t="shared" si="106"/>
        <v>4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223.59393122553857</v>
      </c>
      <c r="AL95" s="57">
        <v>0</v>
      </c>
      <c r="AM95" s="57">
        <v>0</v>
      </c>
      <c r="AN95" s="61">
        <f t="shared" si="107"/>
        <v>4</v>
      </c>
      <c r="AO95" s="40">
        <f t="shared" si="121"/>
        <v>0</v>
      </c>
      <c r="AP95" s="40">
        <f t="shared" si="122"/>
        <v>0</v>
      </c>
      <c r="AQ95" s="44">
        <f t="shared" si="123"/>
        <v>894.37572490215427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36</v>
      </c>
      <c r="G96" s="35">
        <f>SUMIFS(WORKING!$AC$3:$AC$6802,WORKING!$A$3:$A$6802,Results!$D$3,WORKING!$B$3:$B$6802,Results!A96,WORKING!$C$3:$C$6802,Results!C96)/1000</f>
        <v>7002.125829999999</v>
      </c>
      <c r="H96" s="35">
        <f t="shared" si="108"/>
        <v>194.50349527777774</v>
      </c>
      <c r="I96" s="187">
        <v>36</v>
      </c>
      <c r="J96" s="212">
        <v>7092</v>
      </c>
      <c r="K96" s="217">
        <f t="shared" si="109"/>
        <v>197</v>
      </c>
      <c r="L96" s="34">
        <f t="shared" si="102"/>
        <v>36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213.93968239339813</v>
      </c>
      <c r="N96" s="57">
        <v>0</v>
      </c>
      <c r="O96" s="57">
        <v>0</v>
      </c>
      <c r="P96" s="61">
        <f t="shared" si="103"/>
        <v>36</v>
      </c>
      <c r="Q96" s="40">
        <f t="shared" si="110"/>
        <v>0</v>
      </c>
      <c r="R96" s="40">
        <f t="shared" si="111"/>
        <v>0</v>
      </c>
      <c r="S96" s="44">
        <f t="shared" si="112"/>
        <v>7701.8285661623322</v>
      </c>
      <c r="T96" s="35">
        <f t="shared" si="113"/>
        <v>36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231.97392016060112</v>
      </c>
      <c r="V96" s="57">
        <v>0</v>
      </c>
      <c r="W96" s="57">
        <v>0</v>
      </c>
      <c r="X96" s="61">
        <f t="shared" si="104"/>
        <v>36</v>
      </c>
      <c r="Y96" s="40">
        <f t="shared" si="114"/>
        <v>0</v>
      </c>
      <c r="Z96" s="40">
        <f t="shared" si="115"/>
        <v>0</v>
      </c>
      <c r="AA96" s="44">
        <f t="shared" si="116"/>
        <v>8351.0611257816399</v>
      </c>
      <c r="AB96" s="35">
        <f t="shared" si="117"/>
        <v>36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251.29337926517505</v>
      </c>
      <c r="AD96" s="57">
        <v>0</v>
      </c>
      <c r="AE96" s="57">
        <v>0</v>
      </c>
      <c r="AF96" s="61">
        <f t="shared" si="105"/>
        <v>36</v>
      </c>
      <c r="AG96" s="40">
        <f t="shared" si="118"/>
        <v>0</v>
      </c>
      <c r="AH96" s="40">
        <f t="shared" si="119"/>
        <v>0</v>
      </c>
      <c r="AI96" s="44">
        <f t="shared" si="120"/>
        <v>9046.5616535463014</v>
      </c>
      <c r="AJ96" s="35">
        <f t="shared" si="106"/>
        <v>36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271.71269547857486</v>
      </c>
      <c r="AL96" s="57">
        <v>0</v>
      </c>
      <c r="AM96" s="57">
        <v>0</v>
      </c>
      <c r="AN96" s="61">
        <f t="shared" si="107"/>
        <v>36</v>
      </c>
      <c r="AO96" s="40">
        <f t="shared" si="121"/>
        <v>0</v>
      </c>
      <c r="AP96" s="40">
        <f t="shared" si="122"/>
        <v>0</v>
      </c>
      <c r="AQ96" s="44">
        <f t="shared" si="123"/>
        <v>9781.6570372286951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11</v>
      </c>
      <c r="G97" s="35">
        <f>SUMIFS(WORKING!$AC$3:$AC$6802,WORKING!$A$3:$A$6802,Results!$D$3,WORKING!$B$3:$B$6802,Results!A97,WORKING!$C$3:$C$6802,Results!C97)/1000</f>
        <v>2750.7542200000003</v>
      </c>
      <c r="H97" s="35">
        <f t="shared" si="108"/>
        <v>250.06856545454548</v>
      </c>
      <c r="I97" s="187">
        <v>11</v>
      </c>
      <c r="J97" s="212">
        <v>2751</v>
      </c>
      <c r="K97" s="217">
        <f t="shared" si="109"/>
        <v>250.09090909090909</v>
      </c>
      <c r="L97" s="34">
        <f t="shared" si="102"/>
        <v>11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271.95036884743587</v>
      </c>
      <c r="N97" s="57">
        <v>0</v>
      </c>
      <c r="O97" s="57">
        <v>0</v>
      </c>
      <c r="P97" s="61">
        <f t="shared" si="103"/>
        <v>11</v>
      </c>
      <c r="Q97" s="40">
        <f t="shared" si="110"/>
        <v>0</v>
      </c>
      <c r="R97" s="40">
        <f t="shared" si="111"/>
        <v>0</v>
      </c>
      <c r="S97" s="44">
        <f t="shared" si="112"/>
        <v>2991.4540573217946</v>
      </c>
      <c r="T97" s="35">
        <f t="shared" si="113"/>
        <v>11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294.9849860795382</v>
      </c>
      <c r="V97" s="57">
        <v>0</v>
      </c>
      <c r="W97" s="57">
        <v>0</v>
      </c>
      <c r="X97" s="61">
        <f t="shared" si="104"/>
        <v>11</v>
      </c>
      <c r="Y97" s="40">
        <f t="shared" si="114"/>
        <v>0</v>
      </c>
      <c r="Z97" s="40">
        <f t="shared" si="115"/>
        <v>0</v>
      </c>
      <c r="AA97" s="44">
        <f t="shared" si="116"/>
        <v>3244.83484687492</v>
      </c>
      <c r="AB97" s="35">
        <f t="shared" si="117"/>
        <v>11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319.67170048592192</v>
      </c>
      <c r="AD97" s="57">
        <v>0</v>
      </c>
      <c r="AE97" s="57">
        <v>0</v>
      </c>
      <c r="AF97" s="61">
        <f t="shared" si="105"/>
        <v>11</v>
      </c>
      <c r="AG97" s="40">
        <f t="shared" si="118"/>
        <v>0</v>
      </c>
      <c r="AH97" s="40">
        <f t="shared" si="119"/>
        <v>0</v>
      </c>
      <c r="AI97" s="44">
        <f t="shared" si="120"/>
        <v>3516.3887053451413</v>
      </c>
      <c r="AJ97" s="35">
        <f t="shared" si="106"/>
        <v>11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345.77641591216508</v>
      </c>
      <c r="AL97" s="57">
        <v>0</v>
      </c>
      <c r="AM97" s="57">
        <v>0</v>
      </c>
      <c r="AN97" s="61">
        <f t="shared" si="107"/>
        <v>11</v>
      </c>
      <c r="AO97" s="40">
        <f t="shared" si="121"/>
        <v>0</v>
      </c>
      <c r="AP97" s="40">
        <f t="shared" si="122"/>
        <v>0</v>
      </c>
      <c r="AQ97" s="44">
        <f t="shared" si="123"/>
        <v>3803.5405750338159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49</v>
      </c>
      <c r="G98" s="35">
        <f>SUMIFS(WORKING!$AC$3:$AC$6802,WORKING!$A$3:$A$6802,Results!$D$3,WORKING!$B$3:$B$6802,Results!A98,WORKING!$C$3:$C$6802,Results!C98)/1000</f>
        <v>9169.7095600000011</v>
      </c>
      <c r="H98" s="35">
        <f t="shared" si="108"/>
        <v>187.13692979591838</v>
      </c>
      <c r="I98" s="187">
        <v>49</v>
      </c>
      <c r="J98" s="212">
        <v>9170</v>
      </c>
      <c r="K98" s="217">
        <f t="shared" si="109"/>
        <v>187.14285714285714</v>
      </c>
      <c r="L98" s="34">
        <f t="shared" si="102"/>
        <v>49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203.75185284300264</v>
      </c>
      <c r="N98" s="57">
        <v>0</v>
      </c>
      <c r="O98" s="57">
        <v>0</v>
      </c>
      <c r="P98" s="61">
        <f t="shared" si="103"/>
        <v>49</v>
      </c>
      <c r="Q98" s="40">
        <f t="shared" si="110"/>
        <v>0</v>
      </c>
      <c r="R98" s="40">
        <f t="shared" si="111"/>
        <v>0</v>
      </c>
      <c r="S98" s="44">
        <f t="shared" si="112"/>
        <v>9983.8407893071289</v>
      </c>
      <c r="T98" s="35">
        <f t="shared" si="113"/>
        <v>49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221.08724756430848</v>
      </c>
      <c r="V98" s="57">
        <v>0</v>
      </c>
      <c r="W98" s="57">
        <v>0</v>
      </c>
      <c r="X98" s="61">
        <f t="shared" si="104"/>
        <v>49</v>
      </c>
      <c r="Y98" s="40">
        <f t="shared" si="114"/>
        <v>0</v>
      </c>
      <c r="Z98" s="40">
        <f t="shared" si="115"/>
        <v>0</v>
      </c>
      <c r="AA98" s="44">
        <f t="shared" si="116"/>
        <v>10833.275130651116</v>
      </c>
      <c r="AB98" s="35">
        <f t="shared" si="117"/>
        <v>49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239.67342142328442</v>
      </c>
      <c r="AD98" s="57">
        <v>0</v>
      </c>
      <c r="AE98" s="57">
        <v>0</v>
      </c>
      <c r="AF98" s="61">
        <f t="shared" si="105"/>
        <v>49</v>
      </c>
      <c r="AG98" s="40">
        <f t="shared" si="118"/>
        <v>0</v>
      </c>
      <c r="AH98" s="40">
        <f t="shared" si="119"/>
        <v>0</v>
      </c>
      <c r="AI98" s="44">
        <f t="shared" si="120"/>
        <v>11743.997649740937</v>
      </c>
      <c r="AJ98" s="35">
        <f t="shared" si="106"/>
        <v>49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259.3361332416855</v>
      </c>
      <c r="AL98" s="57">
        <v>0</v>
      </c>
      <c r="AM98" s="57">
        <v>0</v>
      </c>
      <c r="AN98" s="61">
        <f t="shared" si="107"/>
        <v>49</v>
      </c>
      <c r="AO98" s="40">
        <f t="shared" si="121"/>
        <v>0</v>
      </c>
      <c r="AP98" s="40">
        <f t="shared" si="122"/>
        <v>0</v>
      </c>
      <c r="AQ98" s="44">
        <f t="shared" si="123"/>
        <v>12707.47052884259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22</v>
      </c>
      <c r="G99" s="35">
        <f>SUMIFS(WORKING!$AC$3:$AC$6802,WORKING!$A$3:$A$6802,Results!$D$3,WORKING!$B$3:$B$6802,Results!A99,WORKING!$C$3:$C$6802,Results!C99)/1000</f>
        <v>2624.3817499999996</v>
      </c>
      <c r="H99" s="35">
        <f t="shared" si="108"/>
        <v>119.29007954545453</v>
      </c>
      <c r="I99" s="187">
        <v>22</v>
      </c>
      <c r="J99" s="212">
        <v>2624</v>
      </c>
      <c r="K99" s="217">
        <f t="shared" si="109"/>
        <v>119.27272727272727</v>
      </c>
      <c r="L99" s="34">
        <f t="shared" si="102"/>
        <v>22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129.95003780106521</v>
      </c>
      <c r="N99" s="57">
        <v>8</v>
      </c>
      <c r="O99" s="57">
        <v>0</v>
      </c>
      <c r="P99" s="61">
        <f t="shared" si="103"/>
        <v>30</v>
      </c>
      <c r="Q99" s="40">
        <f t="shared" si="110"/>
        <v>1039.6003024085217</v>
      </c>
      <c r="R99" s="40">
        <f t="shared" si="111"/>
        <v>0</v>
      </c>
      <c r="S99" s="44">
        <f t="shared" si="112"/>
        <v>3898.5011340319561</v>
      </c>
      <c r="T99" s="35">
        <f t="shared" si="113"/>
        <v>30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141.03467024824698</v>
      </c>
      <c r="V99" s="57">
        <v>0</v>
      </c>
      <c r="W99" s="57">
        <v>0</v>
      </c>
      <c r="X99" s="61">
        <f t="shared" si="104"/>
        <v>30</v>
      </c>
      <c r="Y99" s="40">
        <f t="shared" si="114"/>
        <v>0</v>
      </c>
      <c r="Z99" s="40">
        <f t="shared" si="115"/>
        <v>0</v>
      </c>
      <c r="AA99" s="44">
        <f t="shared" si="116"/>
        <v>4231.0401074474094</v>
      </c>
      <c r="AB99" s="35">
        <f t="shared" si="117"/>
        <v>30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152.92180855733434</v>
      </c>
      <c r="AD99" s="57">
        <v>0</v>
      </c>
      <c r="AE99" s="57">
        <v>0</v>
      </c>
      <c r="AF99" s="61">
        <f t="shared" si="105"/>
        <v>30</v>
      </c>
      <c r="AG99" s="40">
        <f t="shared" si="118"/>
        <v>0</v>
      </c>
      <c r="AH99" s="40">
        <f t="shared" si="119"/>
        <v>0</v>
      </c>
      <c r="AI99" s="44">
        <f t="shared" si="120"/>
        <v>4587.6542567200304</v>
      </c>
      <c r="AJ99" s="35">
        <f t="shared" si="106"/>
        <v>30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165.50074212435686</v>
      </c>
      <c r="AL99" s="57">
        <v>0</v>
      </c>
      <c r="AM99" s="57">
        <v>0</v>
      </c>
      <c r="AN99" s="61">
        <f t="shared" si="107"/>
        <v>30</v>
      </c>
      <c r="AO99" s="40">
        <f t="shared" si="121"/>
        <v>0</v>
      </c>
      <c r="AP99" s="40">
        <f t="shared" si="122"/>
        <v>0</v>
      </c>
      <c r="AQ99" s="44">
        <f t="shared" si="123"/>
        <v>4965.0222637307061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5</v>
      </c>
      <c r="G100" s="35">
        <f>SUMIFS(WORKING!$AC$3:$AC$6802,WORKING!$A$3:$A$6802,Results!$D$3,WORKING!$B$3:$B$6802,Results!A100,WORKING!$C$3:$C$6802,Results!C100)/1000</f>
        <v>1957.3555700000002</v>
      </c>
      <c r="H100" s="35">
        <f t="shared" si="108"/>
        <v>391.47111400000006</v>
      </c>
      <c r="I100" s="187">
        <v>5</v>
      </c>
      <c r="J100" s="212">
        <v>1957</v>
      </c>
      <c r="K100" s="217">
        <f t="shared" si="109"/>
        <v>391.4</v>
      </c>
      <c r="L100" s="34">
        <f t="shared" si="102"/>
        <v>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426.68161602390552</v>
      </c>
      <c r="N100" s="57">
        <v>0</v>
      </c>
      <c r="O100" s="57">
        <v>0</v>
      </c>
      <c r="P100" s="61">
        <f t="shared" si="103"/>
        <v>5</v>
      </c>
      <c r="Q100" s="40">
        <f t="shared" si="110"/>
        <v>0</v>
      </c>
      <c r="R100" s="40">
        <f t="shared" si="111"/>
        <v>0</v>
      </c>
      <c r="S100" s="44">
        <f t="shared" si="112"/>
        <v>2133.4080801195278</v>
      </c>
      <c r="T100" s="35">
        <f t="shared" si="113"/>
        <v>5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463.15291960626956</v>
      </c>
      <c r="V100" s="57">
        <v>0</v>
      </c>
      <c r="W100" s="57">
        <v>0</v>
      </c>
      <c r="X100" s="61">
        <f t="shared" si="104"/>
        <v>5</v>
      </c>
      <c r="Y100" s="40">
        <f t="shared" si="114"/>
        <v>0</v>
      </c>
      <c r="Z100" s="40">
        <f t="shared" si="115"/>
        <v>0</v>
      </c>
      <c r="AA100" s="44">
        <f t="shared" si="116"/>
        <v>2315.7645980313478</v>
      </c>
      <c r="AB100" s="35">
        <f t="shared" si="117"/>
        <v>5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502.2719488631688</v>
      </c>
      <c r="AD100" s="57">
        <v>0</v>
      </c>
      <c r="AE100" s="57">
        <v>0</v>
      </c>
      <c r="AF100" s="61">
        <f t="shared" si="105"/>
        <v>5</v>
      </c>
      <c r="AG100" s="40">
        <f t="shared" si="118"/>
        <v>0</v>
      </c>
      <c r="AH100" s="40">
        <f t="shared" si="119"/>
        <v>0</v>
      </c>
      <c r="AI100" s="44">
        <f t="shared" si="120"/>
        <v>2511.3597443158442</v>
      </c>
      <c r="AJ100" s="35">
        <f t="shared" si="106"/>
        <v>5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543.67628361227878</v>
      </c>
      <c r="AL100" s="57">
        <v>0</v>
      </c>
      <c r="AM100" s="57">
        <v>0</v>
      </c>
      <c r="AN100" s="61">
        <f t="shared" si="107"/>
        <v>5</v>
      </c>
      <c r="AO100" s="40">
        <f t="shared" si="121"/>
        <v>0</v>
      </c>
      <c r="AP100" s="40">
        <f t="shared" si="122"/>
        <v>0</v>
      </c>
      <c r="AQ100" s="44">
        <f t="shared" si="123"/>
        <v>2718.381418061394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42</v>
      </c>
      <c r="G101" s="35">
        <f>SUMIFS(WORKING!$AC$3:$AC$6802,WORKING!$A$3:$A$6802,Results!$D$3,WORKING!$B$3:$B$6802,Results!A101,WORKING!$C$3:$C$6802,Results!C101)/1000</f>
        <v>21663.259650000004</v>
      </c>
      <c r="H101" s="35">
        <f t="shared" si="108"/>
        <v>515.79189642857148</v>
      </c>
      <c r="I101" s="187">
        <v>42</v>
      </c>
      <c r="J101" s="212">
        <v>21663</v>
      </c>
      <c r="K101" s="217">
        <f t="shared" si="109"/>
        <v>515.78571428571433</v>
      </c>
      <c r="L101" s="34">
        <f t="shared" si="102"/>
        <v>42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562.50613798739596</v>
      </c>
      <c r="N101" s="57">
        <v>0</v>
      </c>
      <c r="O101" s="57">
        <v>0</v>
      </c>
      <c r="P101" s="61">
        <f t="shared" si="103"/>
        <v>42</v>
      </c>
      <c r="Q101" s="40">
        <f t="shared" si="110"/>
        <v>0</v>
      </c>
      <c r="R101" s="40">
        <f t="shared" si="111"/>
        <v>0</v>
      </c>
      <c r="S101" s="44">
        <f t="shared" si="112"/>
        <v>23625.257795470628</v>
      </c>
      <c r="T101" s="35">
        <f t="shared" si="113"/>
        <v>42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610.65802338244362</v>
      </c>
      <c r="V101" s="57">
        <v>0</v>
      </c>
      <c r="W101" s="57">
        <v>0</v>
      </c>
      <c r="X101" s="61">
        <f t="shared" si="104"/>
        <v>42</v>
      </c>
      <c r="Y101" s="40">
        <f t="shared" si="114"/>
        <v>0</v>
      </c>
      <c r="Z101" s="40">
        <f t="shared" si="115"/>
        <v>0</v>
      </c>
      <c r="AA101" s="44">
        <f t="shared" si="116"/>
        <v>25647.636982062631</v>
      </c>
      <c r="AB101" s="35">
        <f t="shared" si="117"/>
        <v>42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662.31241254497388</v>
      </c>
      <c r="AD101" s="57">
        <v>0</v>
      </c>
      <c r="AE101" s="57">
        <v>6</v>
      </c>
      <c r="AF101" s="61">
        <f t="shared" si="105"/>
        <v>36</v>
      </c>
      <c r="AG101" s="40">
        <f t="shared" si="118"/>
        <v>0</v>
      </c>
      <c r="AH101" s="40">
        <f t="shared" si="119"/>
        <v>-3973.8744752698431</v>
      </c>
      <c r="AI101" s="44">
        <f t="shared" si="120"/>
        <v>23843.24685161906</v>
      </c>
      <c r="AJ101" s="35">
        <f t="shared" si="106"/>
        <v>36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716.99252909395364</v>
      </c>
      <c r="AL101" s="57">
        <v>0</v>
      </c>
      <c r="AM101" s="57">
        <v>0</v>
      </c>
      <c r="AN101" s="61">
        <f t="shared" si="107"/>
        <v>36</v>
      </c>
      <c r="AO101" s="40">
        <f t="shared" si="121"/>
        <v>0</v>
      </c>
      <c r="AP101" s="40">
        <f t="shared" si="122"/>
        <v>0</v>
      </c>
      <c r="AQ101" s="44">
        <f t="shared" si="123"/>
        <v>25811.731047382331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54</v>
      </c>
      <c r="G102" s="35">
        <f>SUMIFS(WORKING!$AC$3:$AC$6802,WORKING!$A$3:$A$6802,Results!$D$3,WORKING!$B$3:$B$6802,Results!A102,WORKING!$C$3:$C$6802,Results!C102)/1000</f>
        <v>36693.179989999982</v>
      </c>
      <c r="H102" s="35">
        <f t="shared" si="108"/>
        <v>679.50333314814782</v>
      </c>
      <c r="I102" s="187">
        <v>54</v>
      </c>
      <c r="J102" s="212">
        <v>36871</v>
      </c>
      <c r="K102" s="217">
        <f t="shared" si="109"/>
        <v>682.7962962962963</v>
      </c>
      <c r="L102" s="34">
        <f t="shared" si="102"/>
        <v>54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745.48159464630851</v>
      </c>
      <c r="N102" s="57">
        <v>0</v>
      </c>
      <c r="O102" s="57">
        <v>0</v>
      </c>
      <c r="P102" s="61">
        <f t="shared" si="103"/>
        <v>54</v>
      </c>
      <c r="Q102" s="40">
        <f t="shared" si="110"/>
        <v>0</v>
      </c>
      <c r="R102" s="40">
        <f t="shared" si="111"/>
        <v>0</v>
      </c>
      <c r="S102" s="44">
        <f t="shared" si="112"/>
        <v>40256.006110900656</v>
      </c>
      <c r="T102" s="35">
        <f t="shared" si="113"/>
        <v>54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809.38322800414073</v>
      </c>
      <c r="V102" s="57">
        <v>0</v>
      </c>
      <c r="W102" s="57">
        <v>0</v>
      </c>
      <c r="X102" s="61">
        <f t="shared" si="104"/>
        <v>54</v>
      </c>
      <c r="Y102" s="40">
        <f t="shared" si="114"/>
        <v>0</v>
      </c>
      <c r="Z102" s="40">
        <f t="shared" si="115"/>
        <v>0</v>
      </c>
      <c r="AA102" s="44">
        <f t="shared" si="116"/>
        <v>43706.694312223597</v>
      </c>
      <c r="AB102" s="35">
        <f t="shared" si="117"/>
        <v>54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877.94114617093749</v>
      </c>
      <c r="AD102" s="57">
        <v>0</v>
      </c>
      <c r="AE102" s="57">
        <v>0</v>
      </c>
      <c r="AF102" s="61">
        <f t="shared" si="105"/>
        <v>54</v>
      </c>
      <c r="AG102" s="40">
        <f t="shared" si="118"/>
        <v>0</v>
      </c>
      <c r="AH102" s="40">
        <f t="shared" si="119"/>
        <v>0</v>
      </c>
      <c r="AI102" s="44">
        <f t="shared" si="120"/>
        <v>47408.821893230626</v>
      </c>
      <c r="AJ102" s="35">
        <f t="shared" si="106"/>
        <v>54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950.52451088138616</v>
      </c>
      <c r="AL102" s="57">
        <v>0</v>
      </c>
      <c r="AM102" s="57">
        <v>0</v>
      </c>
      <c r="AN102" s="61">
        <f t="shared" si="107"/>
        <v>54</v>
      </c>
      <c r="AO102" s="40">
        <f t="shared" si="121"/>
        <v>0</v>
      </c>
      <c r="AP102" s="40">
        <f t="shared" si="122"/>
        <v>0</v>
      </c>
      <c r="AQ102" s="44">
        <f t="shared" si="123"/>
        <v>51328.323587594852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48</v>
      </c>
      <c r="G103" s="35">
        <f>SUMIFS(WORKING!$AC$3:$AC$6802,WORKING!$A$3:$A$6802,Results!$D$3,WORKING!$B$3:$B$6802,Results!A103,WORKING!$C$3:$C$6802,Results!C103)/1000</f>
        <v>37808.417929999989</v>
      </c>
      <c r="H103" s="35">
        <f t="shared" si="108"/>
        <v>787.67537354166643</v>
      </c>
      <c r="I103" s="187">
        <v>48</v>
      </c>
      <c r="J103" s="212">
        <v>37808</v>
      </c>
      <c r="K103" s="217">
        <f t="shared" si="109"/>
        <v>787.66666666666663</v>
      </c>
      <c r="L103" s="34">
        <f t="shared" si="102"/>
        <v>48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859.99139621889401</v>
      </c>
      <c r="N103" s="57">
        <v>0</v>
      </c>
      <c r="O103" s="57">
        <v>0</v>
      </c>
      <c r="P103" s="61">
        <f t="shared" si="103"/>
        <v>48</v>
      </c>
      <c r="Q103" s="40">
        <f t="shared" si="110"/>
        <v>0</v>
      </c>
      <c r="R103" s="40">
        <f t="shared" si="111"/>
        <v>0</v>
      </c>
      <c r="S103" s="44">
        <f t="shared" si="112"/>
        <v>41279.587018506914</v>
      </c>
      <c r="T103" s="35">
        <f t="shared" si="113"/>
        <v>48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933.72127023386327</v>
      </c>
      <c r="V103" s="57">
        <v>0</v>
      </c>
      <c r="W103" s="57">
        <v>9</v>
      </c>
      <c r="X103" s="61">
        <f t="shared" si="104"/>
        <v>39</v>
      </c>
      <c r="Y103" s="40">
        <f t="shared" si="114"/>
        <v>0</v>
      </c>
      <c r="Z103" s="40">
        <f t="shared" si="115"/>
        <v>-8403.491432104769</v>
      </c>
      <c r="AA103" s="44">
        <f t="shared" si="116"/>
        <v>36415.129539120666</v>
      </c>
      <c r="AB103" s="35">
        <f t="shared" si="117"/>
        <v>39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1012.8247966987618</v>
      </c>
      <c r="AD103" s="57">
        <v>0</v>
      </c>
      <c r="AE103" s="57">
        <v>0</v>
      </c>
      <c r="AF103" s="61">
        <f t="shared" si="105"/>
        <v>39</v>
      </c>
      <c r="AG103" s="40">
        <f t="shared" si="118"/>
        <v>0</v>
      </c>
      <c r="AH103" s="40">
        <f t="shared" si="119"/>
        <v>0</v>
      </c>
      <c r="AI103" s="44">
        <f t="shared" si="120"/>
        <v>39500.167071251708</v>
      </c>
      <c r="AJ103" s="35">
        <f t="shared" si="106"/>
        <v>39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1096.5744257162039</v>
      </c>
      <c r="AL103" s="57">
        <v>0</v>
      </c>
      <c r="AM103" s="57">
        <v>0</v>
      </c>
      <c r="AN103" s="61">
        <f t="shared" si="107"/>
        <v>39</v>
      </c>
      <c r="AO103" s="40">
        <f t="shared" si="121"/>
        <v>0</v>
      </c>
      <c r="AP103" s="40">
        <f t="shared" si="122"/>
        <v>0</v>
      </c>
      <c r="AQ103" s="44">
        <f t="shared" si="123"/>
        <v>42766.40260293195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16</v>
      </c>
      <c r="G104" s="35">
        <f>SUMIFS(WORKING!$AC$3:$AC$6802,WORKING!$A$3:$A$6802,Results!$D$3,WORKING!$B$3:$B$6802,Results!A104,WORKING!$C$3:$C$6802,Results!C104)/1000</f>
        <v>15689.152709999998</v>
      </c>
      <c r="H104" s="35">
        <f t="shared" si="108"/>
        <v>980.5720443749999</v>
      </c>
      <c r="I104" s="187">
        <v>16</v>
      </c>
      <c r="J104" s="212">
        <v>15689</v>
      </c>
      <c r="K104" s="217">
        <f t="shared" si="109"/>
        <v>980.5625</v>
      </c>
      <c r="L104" s="34">
        <f t="shared" si="102"/>
        <v>16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1027.3981531873462</v>
      </c>
      <c r="N104" s="57">
        <v>1</v>
      </c>
      <c r="O104" s="57">
        <v>0</v>
      </c>
      <c r="P104" s="61">
        <f t="shared" si="103"/>
        <v>17</v>
      </c>
      <c r="Q104" s="40">
        <f t="shared" si="110"/>
        <v>1027.3981531873462</v>
      </c>
      <c r="R104" s="40">
        <f t="shared" si="111"/>
        <v>0</v>
      </c>
      <c r="S104" s="44">
        <f t="shared" si="112"/>
        <v>17465.768604184886</v>
      </c>
      <c r="T104" s="35">
        <f t="shared" si="113"/>
        <v>17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1104.6070858884286</v>
      </c>
      <c r="V104" s="57">
        <v>0</v>
      </c>
      <c r="W104" s="57">
        <v>0</v>
      </c>
      <c r="X104" s="61">
        <f t="shared" si="104"/>
        <v>17</v>
      </c>
      <c r="Y104" s="40">
        <f t="shared" si="114"/>
        <v>0</v>
      </c>
      <c r="Z104" s="40">
        <f t="shared" si="115"/>
        <v>0</v>
      </c>
      <c r="AA104" s="44">
        <f t="shared" si="116"/>
        <v>18778.320460103285</v>
      </c>
      <c r="AB104" s="35">
        <f t="shared" si="117"/>
        <v>17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1186.4978723964032</v>
      </c>
      <c r="AD104" s="57">
        <v>0</v>
      </c>
      <c r="AE104" s="57">
        <v>0</v>
      </c>
      <c r="AF104" s="61">
        <f t="shared" si="105"/>
        <v>17</v>
      </c>
      <c r="AG104" s="40">
        <f t="shared" si="118"/>
        <v>0</v>
      </c>
      <c r="AH104" s="40">
        <f t="shared" si="119"/>
        <v>0</v>
      </c>
      <c r="AI104" s="44">
        <f t="shared" si="120"/>
        <v>20170.463830738852</v>
      </c>
      <c r="AJ104" s="35">
        <f t="shared" si="106"/>
        <v>17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1272.0527756464189</v>
      </c>
      <c r="AL104" s="57">
        <v>0</v>
      </c>
      <c r="AM104" s="57">
        <v>0</v>
      </c>
      <c r="AN104" s="61">
        <f t="shared" si="107"/>
        <v>17</v>
      </c>
      <c r="AO104" s="40">
        <f t="shared" si="121"/>
        <v>0</v>
      </c>
      <c r="AP104" s="40">
        <f t="shared" si="122"/>
        <v>0</v>
      </c>
      <c r="AQ104" s="44">
        <f t="shared" si="123"/>
        <v>21624.897185989121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3505.4676300000001</v>
      </c>
      <c r="H105" s="35">
        <f t="shared" si="108"/>
        <v>1168.48921</v>
      </c>
      <c r="I105" s="187">
        <v>3</v>
      </c>
      <c r="J105" s="212">
        <v>3505</v>
      </c>
      <c r="K105" s="217">
        <f t="shared" si="109"/>
        <v>1168.3333333333333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1224.178496873488</v>
      </c>
      <c r="N105" s="57">
        <v>1</v>
      </c>
      <c r="O105" s="57">
        <v>0</v>
      </c>
      <c r="P105" s="61">
        <f t="shared" si="103"/>
        <v>4</v>
      </c>
      <c r="Q105" s="40">
        <f t="shared" si="110"/>
        <v>1224.178496873488</v>
      </c>
      <c r="R105" s="40">
        <f t="shared" si="111"/>
        <v>0</v>
      </c>
      <c r="S105" s="44">
        <f t="shared" si="112"/>
        <v>4896.7139874939521</v>
      </c>
      <c r="T105" s="35">
        <f t="shared" si="113"/>
        <v>4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1316.2193451257258</v>
      </c>
      <c r="V105" s="57">
        <v>0</v>
      </c>
      <c r="W105" s="57">
        <v>0</v>
      </c>
      <c r="X105" s="61">
        <f t="shared" si="104"/>
        <v>4</v>
      </c>
      <c r="Y105" s="40">
        <f t="shared" si="114"/>
        <v>0</v>
      </c>
      <c r="Z105" s="40">
        <f t="shared" si="115"/>
        <v>0</v>
      </c>
      <c r="AA105" s="44">
        <f t="shared" si="116"/>
        <v>5264.8773805029032</v>
      </c>
      <c r="AB105" s="35">
        <f t="shared" si="117"/>
        <v>4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1413.8452830245176</v>
      </c>
      <c r="AD105" s="57">
        <v>0</v>
      </c>
      <c r="AE105" s="57">
        <v>0</v>
      </c>
      <c r="AF105" s="61">
        <f t="shared" si="105"/>
        <v>4</v>
      </c>
      <c r="AG105" s="40">
        <f t="shared" si="118"/>
        <v>0</v>
      </c>
      <c r="AH105" s="40">
        <f t="shared" si="119"/>
        <v>0</v>
      </c>
      <c r="AI105" s="44">
        <f t="shared" si="120"/>
        <v>5655.3811320980703</v>
      </c>
      <c r="AJ105" s="35">
        <f t="shared" si="106"/>
        <v>4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1515.8440805826131</v>
      </c>
      <c r="AL105" s="57">
        <v>0</v>
      </c>
      <c r="AM105" s="57">
        <v>0</v>
      </c>
      <c r="AN105" s="61">
        <f t="shared" si="107"/>
        <v>4</v>
      </c>
      <c r="AO105" s="40">
        <f t="shared" si="121"/>
        <v>0</v>
      </c>
      <c r="AP105" s="40">
        <f t="shared" si="122"/>
        <v>0</v>
      </c>
      <c r="AQ105" s="44">
        <f t="shared" si="123"/>
        <v>6063.3763223304522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1524.5201499999998</v>
      </c>
      <c r="H106" s="35">
        <f t="shared" si="108"/>
        <v>1524.5201499999998</v>
      </c>
      <c r="I106" s="187">
        <v>1</v>
      </c>
      <c r="J106" s="212">
        <v>1525</v>
      </c>
      <c r="K106" s="217">
        <f t="shared" si="109"/>
        <v>1525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1598.121075229918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1598.121075229918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1718.5218474661872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1718.5218474661872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1846.2500980158479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1846.2500980158479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1979.7257516487969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1979.7257516487969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291</v>
      </c>
      <c r="G112" s="41">
        <f>SUM(G92:G111)</f>
        <v>141262.90052999998</v>
      </c>
      <c r="H112" s="41">
        <f>IFERROR(G112/F112,0)</f>
        <v>485.43952072164944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291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141529.2156</v>
      </c>
      <c r="K112" s="41">
        <f>IFERROR(J112/I112,"")</f>
        <v>486.35469278350513</v>
      </c>
      <c r="L112" s="41">
        <f>SUM(L92:L111)</f>
        <v>291</v>
      </c>
      <c r="M112" s="41">
        <f>IFERROR(S112/P112,0)</f>
        <v>520.05136128903337</v>
      </c>
      <c r="N112" s="41">
        <f t="shared" ref="N112:T112" si="124">SUM(N92:N111)</f>
        <v>10</v>
      </c>
      <c r="O112" s="41">
        <f t="shared" si="124"/>
        <v>0</v>
      </c>
      <c r="P112" s="41">
        <f t="shared" si="124"/>
        <v>301</v>
      </c>
      <c r="Q112" s="41">
        <f t="shared" si="124"/>
        <v>3291.1769524693564</v>
      </c>
      <c r="R112" s="41">
        <f t="shared" si="124"/>
        <v>0</v>
      </c>
      <c r="S112" s="45">
        <f t="shared" si="124"/>
        <v>156535.45974799903</v>
      </c>
      <c r="T112" s="41">
        <f t="shared" si="124"/>
        <v>301</v>
      </c>
      <c r="U112" s="41">
        <f>IFERROR(AA112/X112,0)</f>
        <v>552.29890230820286</v>
      </c>
      <c r="V112" s="41">
        <f t="shared" ref="V112:AB112" si="125">SUM(V92:V111)</f>
        <v>0</v>
      </c>
      <c r="W112" s="41">
        <f t="shared" si="125"/>
        <v>9</v>
      </c>
      <c r="X112" s="41">
        <f t="shared" si="125"/>
        <v>292</v>
      </c>
      <c r="Y112" s="41">
        <f t="shared" si="125"/>
        <v>0</v>
      </c>
      <c r="Z112" s="41">
        <f t="shared" si="125"/>
        <v>-8403.491432104769</v>
      </c>
      <c r="AA112" s="45">
        <f t="shared" si="125"/>
        <v>161271.27947399524</v>
      </c>
      <c r="AB112" s="41">
        <f t="shared" si="125"/>
        <v>292</v>
      </c>
      <c r="AC112" s="41">
        <f>IFERROR(AI112/AF112,0)</f>
        <v>596.70543881608103</v>
      </c>
      <c r="AD112" s="41">
        <f t="shared" ref="AD112:AJ112" si="126">SUM(AD92:AD111)</f>
        <v>0</v>
      </c>
      <c r="AE112" s="41">
        <f t="shared" si="126"/>
        <v>6</v>
      </c>
      <c r="AF112" s="41">
        <f t="shared" si="126"/>
        <v>286</v>
      </c>
      <c r="AG112" s="41">
        <f t="shared" si="126"/>
        <v>0</v>
      </c>
      <c r="AH112" s="41">
        <f t="shared" si="126"/>
        <v>-3973.8744752698431</v>
      </c>
      <c r="AI112" s="45">
        <f t="shared" si="126"/>
        <v>170657.75550139917</v>
      </c>
      <c r="AJ112" s="41">
        <f t="shared" si="126"/>
        <v>286</v>
      </c>
      <c r="AK112" s="41">
        <f>IFERROR(AQ112/AN112,0)</f>
        <v>644.91225190796104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286</v>
      </c>
      <c r="AO112" s="41">
        <f t="shared" si="127"/>
        <v>0</v>
      </c>
      <c r="AP112" s="41">
        <f t="shared" si="127"/>
        <v>0</v>
      </c>
      <c r="AQ112" s="45">
        <f t="shared" si="127"/>
        <v>184444.90404567687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153995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152654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157818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169812.16800000001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-2540.4597479990334</v>
      </c>
      <c r="T114" s="39"/>
      <c r="U114" s="39"/>
      <c r="V114" s="53"/>
      <c r="W114" s="53"/>
      <c r="X114" s="110"/>
      <c r="Y114" s="39"/>
      <c r="Z114" s="39"/>
      <c r="AA114" s="54">
        <f>AA113-AA112</f>
        <v>-8617.2794739952369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-12839.755501399166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-14632.736045676866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Mineral Regulation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1222.43616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3</v>
      </c>
      <c r="G122" s="35">
        <f>SUMIFS(WORKING!$AC$3:$AC$6802,WORKING!$A$3:$A$6802,Results!$D$3,WORKING!$B$3:$B$6802,Results!A122,WORKING!$C$3:$C$6802,Results!C122)/1000</f>
        <v>513.48532999999998</v>
      </c>
      <c r="H122" s="35">
        <f t="shared" si="134"/>
        <v>171.16177666666667</v>
      </c>
      <c r="I122" s="187">
        <v>3</v>
      </c>
      <c r="J122" s="212">
        <v>513</v>
      </c>
      <c r="K122" s="217">
        <f t="shared" si="135"/>
        <v>171</v>
      </c>
      <c r="L122" s="34">
        <f t="shared" si="128"/>
        <v>3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185.52408815129053</v>
      </c>
      <c r="N122" s="57">
        <v>0</v>
      </c>
      <c r="O122" s="57">
        <v>0</v>
      </c>
      <c r="P122" s="61">
        <f t="shared" si="129"/>
        <v>3</v>
      </c>
      <c r="Q122" s="40">
        <f t="shared" si="136"/>
        <v>0</v>
      </c>
      <c r="R122" s="40">
        <f t="shared" si="137"/>
        <v>0</v>
      </c>
      <c r="S122" s="44">
        <f t="shared" si="138"/>
        <v>556.57226445387164</v>
      </c>
      <c r="T122" s="35">
        <f t="shared" si="139"/>
        <v>3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201.1027980301148</v>
      </c>
      <c r="V122" s="57">
        <v>0</v>
      </c>
      <c r="W122" s="57">
        <v>0</v>
      </c>
      <c r="X122" s="61">
        <f t="shared" si="130"/>
        <v>3</v>
      </c>
      <c r="Y122" s="40">
        <f t="shared" si="140"/>
        <v>0</v>
      </c>
      <c r="Z122" s="40">
        <f t="shared" si="141"/>
        <v>0</v>
      </c>
      <c r="AA122" s="44">
        <f t="shared" si="142"/>
        <v>603.30839409034434</v>
      </c>
      <c r="AB122" s="35">
        <f t="shared" si="143"/>
        <v>3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217.78622900297034</v>
      </c>
      <c r="AD122" s="57">
        <v>0</v>
      </c>
      <c r="AE122" s="57">
        <v>0</v>
      </c>
      <c r="AF122" s="61">
        <f t="shared" si="131"/>
        <v>3</v>
      </c>
      <c r="AG122" s="40">
        <f t="shared" si="144"/>
        <v>0</v>
      </c>
      <c r="AH122" s="40">
        <f t="shared" si="145"/>
        <v>0</v>
      </c>
      <c r="AI122" s="44">
        <f t="shared" si="146"/>
        <v>653.35868700891103</v>
      </c>
      <c r="AJ122" s="35">
        <f t="shared" si="132"/>
        <v>3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235.41306859323046</v>
      </c>
      <c r="AL122" s="57">
        <v>0</v>
      </c>
      <c r="AM122" s="57">
        <v>0</v>
      </c>
      <c r="AN122" s="61">
        <f t="shared" si="133"/>
        <v>3</v>
      </c>
      <c r="AO122" s="40">
        <f t="shared" si="147"/>
        <v>0</v>
      </c>
      <c r="AP122" s="40">
        <f t="shared" si="148"/>
        <v>0</v>
      </c>
      <c r="AQ122" s="44">
        <f t="shared" si="149"/>
        <v>706.23920577969136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6</v>
      </c>
      <c r="G123" s="35">
        <f>SUMIFS(WORKING!$AC$3:$AC$6802,WORKING!$A$3:$A$6802,Results!$D$3,WORKING!$B$3:$B$6802,Results!A123,WORKING!$C$3:$C$6802,Results!C123)/1000</f>
        <v>1089.5546800000002</v>
      </c>
      <c r="H123" s="35">
        <f t="shared" si="134"/>
        <v>181.59244666666669</v>
      </c>
      <c r="I123" s="187">
        <v>6</v>
      </c>
      <c r="J123" s="212">
        <v>1090</v>
      </c>
      <c r="K123" s="217">
        <f t="shared" si="135"/>
        <v>181.66666666666666</v>
      </c>
      <c r="L123" s="34">
        <f t="shared" si="128"/>
        <v>6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197.13620293897367</v>
      </c>
      <c r="N123" s="57">
        <v>0</v>
      </c>
      <c r="O123" s="57">
        <v>0</v>
      </c>
      <c r="P123" s="61">
        <f t="shared" si="129"/>
        <v>6</v>
      </c>
      <c r="Q123" s="40">
        <f t="shared" si="136"/>
        <v>0</v>
      </c>
      <c r="R123" s="40">
        <f t="shared" si="137"/>
        <v>0</v>
      </c>
      <c r="S123" s="44">
        <f t="shared" si="138"/>
        <v>1182.8172176338421</v>
      </c>
      <c r="T123" s="35">
        <f t="shared" si="139"/>
        <v>6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213.70485184504491</v>
      </c>
      <c r="V123" s="57">
        <v>0</v>
      </c>
      <c r="W123" s="57">
        <v>0</v>
      </c>
      <c r="X123" s="61">
        <f t="shared" si="130"/>
        <v>6</v>
      </c>
      <c r="Y123" s="40">
        <f t="shared" si="140"/>
        <v>0</v>
      </c>
      <c r="Z123" s="40">
        <f t="shared" si="141"/>
        <v>0</v>
      </c>
      <c r="AA123" s="44">
        <f t="shared" si="142"/>
        <v>1282.2291110702695</v>
      </c>
      <c r="AB123" s="35">
        <f t="shared" si="143"/>
        <v>6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231.44971488518377</v>
      </c>
      <c r="AD123" s="57">
        <v>0</v>
      </c>
      <c r="AE123" s="57">
        <v>0</v>
      </c>
      <c r="AF123" s="61">
        <f t="shared" si="131"/>
        <v>6</v>
      </c>
      <c r="AG123" s="40">
        <f t="shared" si="144"/>
        <v>0</v>
      </c>
      <c r="AH123" s="40">
        <f t="shared" si="145"/>
        <v>0</v>
      </c>
      <c r="AI123" s="44">
        <f t="shared" si="146"/>
        <v>1388.6982893111026</v>
      </c>
      <c r="AJ123" s="35">
        <f t="shared" si="132"/>
        <v>6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250.19943512941515</v>
      </c>
      <c r="AL123" s="57">
        <v>0</v>
      </c>
      <c r="AM123" s="57">
        <v>0</v>
      </c>
      <c r="AN123" s="61">
        <f t="shared" si="133"/>
        <v>6</v>
      </c>
      <c r="AO123" s="40">
        <f t="shared" si="147"/>
        <v>0</v>
      </c>
      <c r="AP123" s="40">
        <f t="shared" si="148"/>
        <v>0</v>
      </c>
      <c r="AQ123" s="44">
        <f t="shared" si="149"/>
        <v>1501.1966107764908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56</v>
      </c>
      <c r="G124" s="35">
        <f>SUMIFS(WORKING!$AC$3:$AC$6802,WORKING!$A$3:$A$6802,Results!$D$3,WORKING!$B$3:$B$6802,Results!A124,WORKING!$C$3:$C$6802,Results!C124)/1000</f>
        <v>11053.515409999998</v>
      </c>
      <c r="H124" s="35">
        <f t="shared" si="134"/>
        <v>197.38420374999995</v>
      </c>
      <c r="I124" s="187">
        <v>56</v>
      </c>
      <c r="J124" s="212">
        <v>11054</v>
      </c>
      <c r="K124" s="217">
        <f t="shared" si="135"/>
        <v>197.39285714285714</v>
      </c>
      <c r="L124" s="34">
        <f t="shared" si="128"/>
        <v>56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214.41432287883856</v>
      </c>
      <c r="N124" s="57">
        <v>0</v>
      </c>
      <c r="O124" s="57">
        <v>0</v>
      </c>
      <c r="P124" s="61">
        <f t="shared" si="129"/>
        <v>56</v>
      </c>
      <c r="Q124" s="40">
        <f t="shared" si="136"/>
        <v>0</v>
      </c>
      <c r="R124" s="40">
        <f t="shared" si="137"/>
        <v>0</v>
      </c>
      <c r="S124" s="44">
        <f t="shared" si="138"/>
        <v>12007.20208121496</v>
      </c>
      <c r="T124" s="35">
        <f t="shared" si="139"/>
        <v>56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232.50242991576823</v>
      </c>
      <c r="V124" s="57">
        <v>0</v>
      </c>
      <c r="W124" s="57">
        <v>0</v>
      </c>
      <c r="X124" s="61">
        <f t="shared" si="130"/>
        <v>56</v>
      </c>
      <c r="Y124" s="40">
        <f t="shared" si="140"/>
        <v>0</v>
      </c>
      <c r="Z124" s="40">
        <f t="shared" si="141"/>
        <v>0</v>
      </c>
      <c r="AA124" s="44">
        <f t="shared" si="142"/>
        <v>13020.136075283021</v>
      </c>
      <c r="AB124" s="35">
        <f t="shared" si="143"/>
        <v>56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251.88096316978721</v>
      </c>
      <c r="AD124" s="57">
        <v>0</v>
      </c>
      <c r="AE124" s="57">
        <v>0</v>
      </c>
      <c r="AF124" s="61">
        <f t="shared" si="131"/>
        <v>56</v>
      </c>
      <c r="AG124" s="40">
        <f t="shared" si="144"/>
        <v>0</v>
      </c>
      <c r="AH124" s="40">
        <f t="shared" si="145"/>
        <v>0</v>
      </c>
      <c r="AI124" s="44">
        <f t="shared" si="146"/>
        <v>14105.333937508083</v>
      </c>
      <c r="AJ124" s="35">
        <f t="shared" si="132"/>
        <v>56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272.36440334920337</v>
      </c>
      <c r="AL124" s="57">
        <v>0</v>
      </c>
      <c r="AM124" s="57">
        <v>0</v>
      </c>
      <c r="AN124" s="61">
        <f t="shared" si="133"/>
        <v>56</v>
      </c>
      <c r="AO124" s="40">
        <f t="shared" si="147"/>
        <v>0</v>
      </c>
      <c r="AP124" s="40">
        <f t="shared" si="148"/>
        <v>0</v>
      </c>
      <c r="AQ124" s="44">
        <f t="shared" si="149"/>
        <v>15252.40658755539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18</v>
      </c>
      <c r="G125" s="35">
        <f>SUMIFS(WORKING!$AC$3:$AC$6802,WORKING!$A$3:$A$6802,Results!$D$3,WORKING!$B$3:$B$6802,Results!A125,WORKING!$C$3:$C$6802,Results!C125)/1000</f>
        <v>4503.6913400000012</v>
      </c>
      <c r="H125" s="35">
        <f t="shared" si="134"/>
        <v>250.20507444444451</v>
      </c>
      <c r="I125" s="187">
        <v>18</v>
      </c>
      <c r="J125" s="212">
        <v>4504</v>
      </c>
      <c r="K125" s="217">
        <f t="shared" si="135"/>
        <v>250.22222222222223</v>
      </c>
      <c r="L125" s="34">
        <f t="shared" si="128"/>
        <v>18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272.08724310137529</v>
      </c>
      <c r="N125" s="57">
        <v>0</v>
      </c>
      <c r="O125" s="57">
        <v>0</v>
      </c>
      <c r="P125" s="61">
        <f t="shared" si="129"/>
        <v>18</v>
      </c>
      <c r="Q125" s="40">
        <f t="shared" si="136"/>
        <v>0</v>
      </c>
      <c r="R125" s="40">
        <f t="shared" si="137"/>
        <v>0</v>
      </c>
      <c r="S125" s="44">
        <f t="shared" si="138"/>
        <v>4897.5703758247555</v>
      </c>
      <c r="T125" s="35">
        <f t="shared" si="139"/>
        <v>18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295.12899214634689</v>
      </c>
      <c r="V125" s="57">
        <v>0</v>
      </c>
      <c r="W125" s="57">
        <v>0</v>
      </c>
      <c r="X125" s="61">
        <f t="shared" si="130"/>
        <v>18</v>
      </c>
      <c r="Y125" s="40">
        <f t="shared" si="140"/>
        <v>0</v>
      </c>
      <c r="Z125" s="40">
        <f t="shared" si="141"/>
        <v>0</v>
      </c>
      <c r="AA125" s="44">
        <f t="shared" si="142"/>
        <v>5312.3218586342437</v>
      </c>
      <c r="AB125" s="35">
        <f t="shared" si="143"/>
        <v>18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319.8230521656846</v>
      </c>
      <c r="AD125" s="57">
        <v>0</v>
      </c>
      <c r="AE125" s="57">
        <v>0</v>
      </c>
      <c r="AF125" s="61">
        <f t="shared" si="131"/>
        <v>18</v>
      </c>
      <c r="AG125" s="40">
        <f t="shared" si="144"/>
        <v>0</v>
      </c>
      <c r="AH125" s="40">
        <f t="shared" si="145"/>
        <v>0</v>
      </c>
      <c r="AI125" s="44">
        <f t="shared" si="146"/>
        <v>5756.8149389823229</v>
      </c>
      <c r="AJ125" s="35">
        <f t="shared" si="132"/>
        <v>18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345.93531675865876</v>
      </c>
      <c r="AL125" s="57">
        <v>0</v>
      </c>
      <c r="AM125" s="57">
        <v>0</v>
      </c>
      <c r="AN125" s="61">
        <f t="shared" si="133"/>
        <v>18</v>
      </c>
      <c r="AO125" s="40">
        <f t="shared" si="147"/>
        <v>0</v>
      </c>
      <c r="AP125" s="40">
        <f t="shared" si="148"/>
        <v>0</v>
      </c>
      <c r="AQ125" s="44">
        <f t="shared" si="149"/>
        <v>6226.8357016558575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56</v>
      </c>
      <c r="G126" s="35">
        <f>SUMIFS(WORKING!$AC$3:$AC$6802,WORKING!$A$3:$A$6802,Results!$D$3,WORKING!$B$3:$B$6802,Results!A126,WORKING!$C$3:$C$6802,Results!C126)/1000</f>
        <v>16092.766280000002</v>
      </c>
      <c r="H126" s="35">
        <f t="shared" si="134"/>
        <v>287.37082642857143</v>
      </c>
      <c r="I126" s="187">
        <v>55</v>
      </c>
      <c r="J126" s="212">
        <v>16093</v>
      </c>
      <c r="K126" s="217">
        <f t="shared" si="135"/>
        <v>292.60000000000002</v>
      </c>
      <c r="L126" s="34">
        <f t="shared" si="128"/>
        <v>55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318.40871791323241</v>
      </c>
      <c r="N126" s="57">
        <v>0</v>
      </c>
      <c r="O126" s="57">
        <v>0</v>
      </c>
      <c r="P126" s="61">
        <f t="shared" si="129"/>
        <v>55</v>
      </c>
      <c r="Q126" s="40">
        <f t="shared" si="136"/>
        <v>0</v>
      </c>
      <c r="R126" s="40">
        <f t="shared" si="137"/>
        <v>0</v>
      </c>
      <c r="S126" s="44">
        <f t="shared" si="138"/>
        <v>17512.479485227781</v>
      </c>
      <c r="T126" s="35">
        <f t="shared" si="139"/>
        <v>55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345.45007446949194</v>
      </c>
      <c r="V126" s="57">
        <v>0</v>
      </c>
      <c r="W126" s="57">
        <v>0</v>
      </c>
      <c r="X126" s="61">
        <f t="shared" si="130"/>
        <v>55</v>
      </c>
      <c r="Y126" s="40">
        <f t="shared" si="140"/>
        <v>0</v>
      </c>
      <c r="Z126" s="40">
        <f t="shared" si="141"/>
        <v>0</v>
      </c>
      <c r="AA126" s="44">
        <f t="shared" si="142"/>
        <v>18999.754095822056</v>
      </c>
      <c r="AB126" s="35">
        <f t="shared" si="143"/>
        <v>55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374.4377982836919</v>
      </c>
      <c r="AD126" s="57">
        <v>0</v>
      </c>
      <c r="AE126" s="57">
        <v>0</v>
      </c>
      <c r="AF126" s="61">
        <f t="shared" si="131"/>
        <v>55</v>
      </c>
      <c r="AG126" s="40">
        <f t="shared" si="144"/>
        <v>0</v>
      </c>
      <c r="AH126" s="40">
        <f t="shared" si="145"/>
        <v>0</v>
      </c>
      <c r="AI126" s="44">
        <f t="shared" si="146"/>
        <v>20594.078905603055</v>
      </c>
      <c r="AJ126" s="35">
        <f t="shared" si="132"/>
        <v>55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405.09887617357919</v>
      </c>
      <c r="AL126" s="57">
        <v>0</v>
      </c>
      <c r="AM126" s="57">
        <v>0</v>
      </c>
      <c r="AN126" s="61">
        <f t="shared" si="133"/>
        <v>55</v>
      </c>
      <c r="AO126" s="40">
        <f t="shared" si="147"/>
        <v>0</v>
      </c>
      <c r="AP126" s="40">
        <f t="shared" si="148"/>
        <v>0</v>
      </c>
      <c r="AQ126" s="44">
        <f t="shared" si="149"/>
        <v>22280.438189546854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46</v>
      </c>
      <c r="G127" s="35">
        <f>SUMIFS(WORKING!$AC$3:$AC$6802,WORKING!$A$3:$A$6802,Results!$D$3,WORKING!$B$3:$B$6802,Results!A127,WORKING!$C$3:$C$6802,Results!C127)/1000</f>
        <v>17278.83683</v>
      </c>
      <c r="H127" s="35">
        <f t="shared" si="134"/>
        <v>375.62688760869565</v>
      </c>
      <c r="I127" s="187">
        <v>46</v>
      </c>
      <c r="J127" s="212">
        <v>17279</v>
      </c>
      <c r="K127" s="217">
        <f t="shared" si="135"/>
        <v>375.63043478260869</v>
      </c>
      <c r="L127" s="34">
        <f t="shared" si="128"/>
        <v>46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408.98485387337769</v>
      </c>
      <c r="N127" s="57">
        <v>0</v>
      </c>
      <c r="O127" s="57">
        <v>0</v>
      </c>
      <c r="P127" s="61">
        <f t="shared" si="129"/>
        <v>46</v>
      </c>
      <c r="Q127" s="40">
        <f t="shared" si="136"/>
        <v>0</v>
      </c>
      <c r="R127" s="40">
        <f t="shared" si="137"/>
        <v>0</v>
      </c>
      <c r="S127" s="44">
        <f t="shared" si="138"/>
        <v>18813.303278175372</v>
      </c>
      <c r="T127" s="35">
        <f t="shared" si="139"/>
        <v>46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443.78751585790201</v>
      </c>
      <c r="V127" s="57">
        <v>0</v>
      </c>
      <c r="W127" s="57">
        <v>0</v>
      </c>
      <c r="X127" s="61">
        <f t="shared" si="130"/>
        <v>46</v>
      </c>
      <c r="Y127" s="40">
        <f t="shared" si="140"/>
        <v>0</v>
      </c>
      <c r="Z127" s="40">
        <f t="shared" si="141"/>
        <v>0</v>
      </c>
      <c r="AA127" s="44">
        <f t="shared" si="142"/>
        <v>20414.225729463491</v>
      </c>
      <c r="AB127" s="35">
        <f t="shared" si="143"/>
        <v>46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481.10179534965852</v>
      </c>
      <c r="AD127" s="57">
        <v>0</v>
      </c>
      <c r="AE127" s="57">
        <v>0</v>
      </c>
      <c r="AF127" s="61">
        <f t="shared" si="131"/>
        <v>46</v>
      </c>
      <c r="AG127" s="40">
        <f t="shared" si="144"/>
        <v>0</v>
      </c>
      <c r="AH127" s="40">
        <f t="shared" si="145"/>
        <v>0</v>
      </c>
      <c r="AI127" s="44">
        <f t="shared" si="146"/>
        <v>22130.682586084291</v>
      </c>
      <c r="AJ127" s="35">
        <f t="shared" si="132"/>
        <v>46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520.5780053369291</v>
      </c>
      <c r="AL127" s="57">
        <v>0</v>
      </c>
      <c r="AM127" s="57">
        <v>0</v>
      </c>
      <c r="AN127" s="61">
        <f t="shared" si="133"/>
        <v>46</v>
      </c>
      <c r="AO127" s="40">
        <f t="shared" si="147"/>
        <v>0</v>
      </c>
      <c r="AP127" s="40">
        <f t="shared" si="148"/>
        <v>0</v>
      </c>
      <c r="AQ127" s="44">
        <f t="shared" si="149"/>
        <v>23946.588245498737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8</v>
      </c>
      <c r="G128" s="35">
        <f>SUMIFS(WORKING!$AC$3:$AC$6802,WORKING!$A$3:$A$6802,Results!$D$3,WORKING!$B$3:$B$6802,Results!A128,WORKING!$C$3:$C$6802,Results!C128)/1000</f>
        <v>3231.4516599999997</v>
      </c>
      <c r="H128" s="35">
        <f t="shared" si="134"/>
        <v>403.93145749999996</v>
      </c>
      <c r="I128" s="187">
        <v>8</v>
      </c>
      <c r="J128" s="212">
        <v>3231</v>
      </c>
      <c r="K128" s="217">
        <f t="shared" si="135"/>
        <v>403.875</v>
      </c>
      <c r="L128" s="34">
        <f t="shared" si="128"/>
        <v>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439.85065113143986</v>
      </c>
      <c r="N128" s="57">
        <v>13</v>
      </c>
      <c r="O128" s="57">
        <v>0</v>
      </c>
      <c r="P128" s="61">
        <f t="shared" si="129"/>
        <v>21</v>
      </c>
      <c r="Q128" s="40">
        <f t="shared" si="136"/>
        <v>5718.058464708718</v>
      </c>
      <c r="R128" s="40">
        <f t="shared" si="137"/>
        <v>0</v>
      </c>
      <c r="S128" s="44">
        <f t="shared" si="138"/>
        <v>9236.8636737602374</v>
      </c>
      <c r="T128" s="35">
        <f t="shared" si="139"/>
        <v>21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477.31521436934707</v>
      </c>
      <c r="V128" s="57">
        <v>0</v>
      </c>
      <c r="W128" s="57">
        <v>0</v>
      </c>
      <c r="X128" s="61">
        <f t="shared" si="130"/>
        <v>21</v>
      </c>
      <c r="Y128" s="40">
        <f t="shared" si="140"/>
        <v>0</v>
      </c>
      <c r="Z128" s="40">
        <f t="shared" si="141"/>
        <v>0</v>
      </c>
      <c r="AA128" s="44">
        <f t="shared" si="142"/>
        <v>10023.619501756288</v>
      </c>
      <c r="AB128" s="35">
        <f t="shared" si="143"/>
        <v>21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517.48688162950623</v>
      </c>
      <c r="AD128" s="57">
        <v>0</v>
      </c>
      <c r="AE128" s="57">
        <v>0</v>
      </c>
      <c r="AF128" s="61">
        <f t="shared" si="131"/>
        <v>21</v>
      </c>
      <c r="AG128" s="40">
        <f t="shared" si="144"/>
        <v>0</v>
      </c>
      <c r="AH128" s="40">
        <f t="shared" si="145"/>
        <v>0</v>
      </c>
      <c r="AI128" s="44">
        <f t="shared" si="146"/>
        <v>10867.224514219632</v>
      </c>
      <c r="AJ128" s="35">
        <f t="shared" si="132"/>
        <v>21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559.99007409310786</v>
      </c>
      <c r="AL128" s="57">
        <v>0</v>
      </c>
      <c r="AM128" s="57">
        <v>0</v>
      </c>
      <c r="AN128" s="61">
        <f t="shared" si="133"/>
        <v>21</v>
      </c>
      <c r="AO128" s="40">
        <f t="shared" si="147"/>
        <v>0</v>
      </c>
      <c r="AP128" s="40">
        <f t="shared" si="148"/>
        <v>0</v>
      </c>
      <c r="AQ128" s="44">
        <f t="shared" si="149"/>
        <v>11759.791555955266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116</v>
      </c>
      <c r="G129" s="35">
        <f>SUMIFS(WORKING!$AC$3:$AC$6802,WORKING!$A$3:$A$6802,Results!$D$3,WORKING!$B$3:$B$6802,Results!A129,WORKING!$C$3:$C$6802,Results!C129)/1000</f>
        <v>59295.896669999995</v>
      </c>
      <c r="H129" s="35">
        <f t="shared" si="134"/>
        <v>511.17152301724133</v>
      </c>
      <c r="I129" s="187">
        <v>116</v>
      </c>
      <c r="J129" s="212">
        <v>60296</v>
      </c>
      <c r="K129" s="217">
        <f t="shared" si="135"/>
        <v>519.79310344827582</v>
      </c>
      <c r="L129" s="34">
        <f t="shared" si="128"/>
        <v>116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566.45038988679278</v>
      </c>
      <c r="N129" s="57">
        <v>0</v>
      </c>
      <c r="O129" s="57">
        <v>0</v>
      </c>
      <c r="P129" s="61">
        <f t="shared" si="129"/>
        <v>116</v>
      </c>
      <c r="Q129" s="40">
        <f t="shared" si="136"/>
        <v>0</v>
      </c>
      <c r="R129" s="40">
        <f t="shared" si="137"/>
        <v>0</v>
      </c>
      <c r="S129" s="44">
        <f t="shared" si="138"/>
        <v>65708.245226867963</v>
      </c>
      <c r="T129" s="35">
        <f t="shared" si="139"/>
        <v>116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614.80793804706582</v>
      </c>
      <c r="V129" s="57">
        <v>0</v>
      </c>
      <c r="W129" s="57">
        <v>9</v>
      </c>
      <c r="X129" s="61">
        <f t="shared" si="130"/>
        <v>107</v>
      </c>
      <c r="Y129" s="40">
        <f t="shared" si="140"/>
        <v>0</v>
      </c>
      <c r="Z129" s="40">
        <f t="shared" si="141"/>
        <v>-5533.2714424235928</v>
      </c>
      <c r="AA129" s="44">
        <f t="shared" si="142"/>
        <v>65784.44937103604</v>
      </c>
      <c r="AB129" s="35">
        <f t="shared" si="143"/>
        <v>107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666.67027668935282</v>
      </c>
      <c r="AD129" s="57">
        <v>0</v>
      </c>
      <c r="AE129" s="57">
        <v>6</v>
      </c>
      <c r="AF129" s="61">
        <f t="shared" si="131"/>
        <v>101</v>
      </c>
      <c r="AG129" s="40">
        <f t="shared" si="144"/>
        <v>0</v>
      </c>
      <c r="AH129" s="40">
        <f t="shared" si="145"/>
        <v>-4000.0216601361171</v>
      </c>
      <c r="AI129" s="44">
        <f t="shared" si="146"/>
        <v>67333.697945624634</v>
      </c>
      <c r="AJ129" s="35">
        <f t="shared" si="132"/>
        <v>101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721.55536377539897</v>
      </c>
      <c r="AL129" s="57">
        <v>0</v>
      </c>
      <c r="AM129" s="57">
        <v>0</v>
      </c>
      <c r="AN129" s="61">
        <f t="shared" si="133"/>
        <v>101</v>
      </c>
      <c r="AO129" s="40">
        <f t="shared" si="147"/>
        <v>0</v>
      </c>
      <c r="AP129" s="40">
        <f t="shared" si="148"/>
        <v>0</v>
      </c>
      <c r="AQ129" s="44">
        <f t="shared" si="149"/>
        <v>72877.091741315293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10</v>
      </c>
      <c r="G130" s="35">
        <f>SUMIFS(WORKING!$AC$3:$AC$6802,WORKING!$A$3:$A$6802,Results!$D$3,WORKING!$B$3:$B$6802,Results!A130,WORKING!$C$3:$C$6802,Results!C130)/1000</f>
        <v>6805.6067500000008</v>
      </c>
      <c r="H130" s="35">
        <f t="shared" si="134"/>
        <v>680.56067500000006</v>
      </c>
      <c r="I130" s="187">
        <v>10</v>
      </c>
      <c r="J130" s="212">
        <v>7966</v>
      </c>
      <c r="K130" s="217">
        <f t="shared" si="135"/>
        <v>796.6</v>
      </c>
      <c r="L130" s="34">
        <f t="shared" si="128"/>
        <v>10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869.66008044935836</v>
      </c>
      <c r="N130" s="57">
        <v>5</v>
      </c>
      <c r="O130" s="57">
        <v>0</v>
      </c>
      <c r="P130" s="61">
        <f t="shared" si="129"/>
        <v>15</v>
      </c>
      <c r="Q130" s="40">
        <f t="shared" si="136"/>
        <v>4348.3004022467921</v>
      </c>
      <c r="R130" s="40">
        <f t="shared" si="137"/>
        <v>0</v>
      </c>
      <c r="S130" s="44">
        <f t="shared" si="138"/>
        <v>13044.901206740375</v>
      </c>
      <c r="T130" s="35">
        <f t="shared" si="139"/>
        <v>15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944.12668970224684</v>
      </c>
      <c r="V130" s="57">
        <v>0</v>
      </c>
      <c r="W130" s="57">
        <v>0</v>
      </c>
      <c r="X130" s="61">
        <f t="shared" si="130"/>
        <v>15</v>
      </c>
      <c r="Y130" s="40">
        <f t="shared" si="140"/>
        <v>0</v>
      </c>
      <c r="Z130" s="40">
        <f t="shared" si="141"/>
        <v>0</v>
      </c>
      <c r="AA130" s="44">
        <f t="shared" si="142"/>
        <v>14161.900345533702</v>
      </c>
      <c r="AB130" s="35">
        <f t="shared" si="143"/>
        <v>15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1024.0117550383511</v>
      </c>
      <c r="AD130" s="57">
        <v>0</v>
      </c>
      <c r="AE130" s="57">
        <v>0</v>
      </c>
      <c r="AF130" s="61">
        <f t="shared" si="131"/>
        <v>15</v>
      </c>
      <c r="AG130" s="40">
        <f t="shared" si="144"/>
        <v>0</v>
      </c>
      <c r="AH130" s="40">
        <f t="shared" si="145"/>
        <v>0</v>
      </c>
      <c r="AI130" s="44">
        <f t="shared" si="146"/>
        <v>15360.176325575267</v>
      </c>
      <c r="AJ130" s="35">
        <f t="shared" si="132"/>
        <v>15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1108.5781730821134</v>
      </c>
      <c r="AL130" s="57">
        <v>0</v>
      </c>
      <c r="AM130" s="57">
        <v>0</v>
      </c>
      <c r="AN130" s="61">
        <f t="shared" si="133"/>
        <v>15</v>
      </c>
      <c r="AO130" s="40">
        <f t="shared" si="147"/>
        <v>0</v>
      </c>
      <c r="AP130" s="40">
        <f t="shared" si="148"/>
        <v>0</v>
      </c>
      <c r="AQ130" s="44">
        <f t="shared" si="149"/>
        <v>16628.6725962317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29</v>
      </c>
      <c r="G131" s="35">
        <f>SUMIFS(WORKING!$AC$3:$AC$6802,WORKING!$A$3:$A$6802,Results!$D$3,WORKING!$B$3:$B$6802,Results!A131,WORKING!$C$3:$C$6802,Results!C131)/1000</f>
        <v>22363.687320000005</v>
      </c>
      <c r="H131" s="35">
        <f t="shared" si="134"/>
        <v>771.16163172413803</v>
      </c>
      <c r="I131" s="187">
        <v>29</v>
      </c>
      <c r="J131" s="212">
        <v>22364</v>
      </c>
      <c r="K131" s="217">
        <f t="shared" si="135"/>
        <v>771.17241379310349</v>
      </c>
      <c r="L131" s="34">
        <f t="shared" si="128"/>
        <v>29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841.90944195269549</v>
      </c>
      <c r="N131" s="57">
        <v>0</v>
      </c>
      <c r="O131" s="57">
        <v>0</v>
      </c>
      <c r="P131" s="61">
        <f t="shared" si="129"/>
        <v>29</v>
      </c>
      <c r="Q131" s="40">
        <f t="shared" si="136"/>
        <v>0</v>
      </c>
      <c r="R131" s="40">
        <f t="shared" si="137"/>
        <v>0</v>
      </c>
      <c r="S131" s="44">
        <f t="shared" si="138"/>
        <v>24415.373816628169</v>
      </c>
      <c r="T131" s="35">
        <f t="shared" si="139"/>
        <v>29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914.00964986776501</v>
      </c>
      <c r="V131" s="57">
        <v>0</v>
      </c>
      <c r="W131" s="57">
        <v>0</v>
      </c>
      <c r="X131" s="61">
        <f t="shared" si="130"/>
        <v>29</v>
      </c>
      <c r="Y131" s="40">
        <f t="shared" si="140"/>
        <v>0</v>
      </c>
      <c r="Z131" s="40">
        <f t="shared" si="141"/>
        <v>0</v>
      </c>
      <c r="AA131" s="44">
        <f t="shared" si="142"/>
        <v>26506.279846165184</v>
      </c>
      <c r="AB131" s="35">
        <f t="shared" si="143"/>
        <v>29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991.35707244749847</v>
      </c>
      <c r="AD131" s="57">
        <v>0</v>
      </c>
      <c r="AE131" s="57">
        <v>0</v>
      </c>
      <c r="AF131" s="61">
        <f t="shared" si="131"/>
        <v>29</v>
      </c>
      <c r="AG131" s="40">
        <f t="shared" si="144"/>
        <v>0</v>
      </c>
      <c r="AH131" s="40">
        <f t="shared" si="145"/>
        <v>0</v>
      </c>
      <c r="AI131" s="44">
        <f t="shared" si="146"/>
        <v>28749.355100977456</v>
      </c>
      <c r="AJ131" s="35">
        <f t="shared" si="132"/>
        <v>29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1073.2382730537038</v>
      </c>
      <c r="AL131" s="57">
        <v>0</v>
      </c>
      <c r="AM131" s="57">
        <v>0</v>
      </c>
      <c r="AN131" s="61">
        <f t="shared" si="133"/>
        <v>29</v>
      </c>
      <c r="AO131" s="40">
        <f t="shared" si="147"/>
        <v>0</v>
      </c>
      <c r="AP131" s="40">
        <f t="shared" si="148"/>
        <v>0</v>
      </c>
      <c r="AQ131" s="44">
        <f t="shared" si="149"/>
        <v>31123.909918557409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12741.83244</v>
      </c>
      <c r="H132" s="35">
        <f t="shared" si="134"/>
        <v>980.14095692307694</v>
      </c>
      <c r="I132" s="187">
        <v>13</v>
      </c>
      <c r="J132" s="212">
        <v>12742</v>
      </c>
      <c r="K132" s="217">
        <f t="shared" si="135"/>
        <v>980.15384615384619</v>
      </c>
      <c r="L132" s="34">
        <f t="shared" si="128"/>
        <v>13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1027.2879863293924</v>
      </c>
      <c r="N132" s="57">
        <v>3</v>
      </c>
      <c r="O132" s="57">
        <v>0</v>
      </c>
      <c r="P132" s="61">
        <f t="shared" si="129"/>
        <v>16</v>
      </c>
      <c r="Q132" s="40">
        <f t="shared" si="136"/>
        <v>3081.8639589881773</v>
      </c>
      <c r="R132" s="40">
        <f t="shared" si="137"/>
        <v>0</v>
      </c>
      <c r="S132" s="44">
        <f t="shared" si="138"/>
        <v>16436.607781270279</v>
      </c>
      <c r="T132" s="35">
        <f t="shared" si="139"/>
        <v>16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1104.8306499612079</v>
      </c>
      <c r="V132" s="57">
        <v>0</v>
      </c>
      <c r="W132" s="57">
        <v>0</v>
      </c>
      <c r="X132" s="61">
        <f t="shared" si="130"/>
        <v>16</v>
      </c>
      <c r="Y132" s="40">
        <f t="shared" si="140"/>
        <v>0</v>
      </c>
      <c r="Z132" s="40">
        <f t="shared" si="141"/>
        <v>0</v>
      </c>
      <c r="AA132" s="44">
        <f t="shared" si="142"/>
        <v>17677.290399379326</v>
      </c>
      <c r="AB132" s="35">
        <f t="shared" si="143"/>
        <v>16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1187.1054894018016</v>
      </c>
      <c r="AD132" s="57">
        <v>0</v>
      </c>
      <c r="AE132" s="57">
        <v>0</v>
      </c>
      <c r="AF132" s="61">
        <f t="shared" si="131"/>
        <v>16</v>
      </c>
      <c r="AG132" s="40">
        <f t="shared" si="144"/>
        <v>0</v>
      </c>
      <c r="AH132" s="40">
        <f t="shared" si="145"/>
        <v>0</v>
      </c>
      <c r="AI132" s="44">
        <f t="shared" si="146"/>
        <v>18993.687830428826</v>
      </c>
      <c r="AJ132" s="35">
        <f t="shared" si="132"/>
        <v>16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1273.0983048295038</v>
      </c>
      <c r="AL132" s="57">
        <v>0</v>
      </c>
      <c r="AM132" s="57">
        <v>0</v>
      </c>
      <c r="AN132" s="61">
        <f t="shared" si="133"/>
        <v>16</v>
      </c>
      <c r="AO132" s="40">
        <f t="shared" si="147"/>
        <v>0</v>
      </c>
      <c r="AP132" s="40">
        <f t="shared" si="148"/>
        <v>0</v>
      </c>
      <c r="AQ132" s="44">
        <f t="shared" si="149"/>
        <v>20369.572877272061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3044.8481299999999</v>
      </c>
      <c r="H133" s="35">
        <f t="shared" si="134"/>
        <v>1522.4240649999999</v>
      </c>
      <c r="I133" s="187">
        <v>2</v>
      </c>
      <c r="J133" s="212">
        <v>3045</v>
      </c>
      <c r="K133" s="217">
        <f t="shared" si="135"/>
        <v>1522.5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1595.222165227342</v>
      </c>
      <c r="N133" s="57">
        <v>2</v>
      </c>
      <c r="O133" s="57">
        <v>0</v>
      </c>
      <c r="P133" s="61">
        <f t="shared" si="129"/>
        <v>4</v>
      </c>
      <c r="Q133" s="40">
        <f t="shared" si="136"/>
        <v>3190.4443304546839</v>
      </c>
      <c r="R133" s="40">
        <f t="shared" si="137"/>
        <v>0</v>
      </c>
      <c r="S133" s="44">
        <f t="shared" si="138"/>
        <v>6380.8886609093679</v>
      </c>
      <c r="T133" s="35">
        <f t="shared" si="139"/>
        <v>4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1715.1045271673947</v>
      </c>
      <c r="V133" s="57">
        <v>0</v>
      </c>
      <c r="W133" s="57">
        <v>0</v>
      </c>
      <c r="X133" s="61">
        <f t="shared" si="130"/>
        <v>4</v>
      </c>
      <c r="Y133" s="40">
        <f t="shared" si="140"/>
        <v>0</v>
      </c>
      <c r="Z133" s="40">
        <f t="shared" si="141"/>
        <v>0</v>
      </c>
      <c r="AA133" s="44">
        <f t="shared" si="142"/>
        <v>6860.4181086695789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1842.2565360234878</v>
      </c>
      <c r="AD133" s="57">
        <v>0</v>
      </c>
      <c r="AE133" s="57">
        <v>0</v>
      </c>
      <c r="AF133" s="61">
        <f t="shared" si="131"/>
        <v>4</v>
      </c>
      <c r="AG133" s="40">
        <f t="shared" si="144"/>
        <v>0</v>
      </c>
      <c r="AH133" s="40">
        <f t="shared" si="145"/>
        <v>0</v>
      </c>
      <c r="AI133" s="44">
        <f t="shared" si="146"/>
        <v>7369.0261440939512</v>
      </c>
      <c r="AJ133" s="35">
        <f t="shared" si="132"/>
        <v>4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1975.0979849127807</v>
      </c>
      <c r="AL133" s="57">
        <v>0</v>
      </c>
      <c r="AM133" s="57">
        <v>0</v>
      </c>
      <c r="AN133" s="61">
        <f t="shared" si="133"/>
        <v>4</v>
      </c>
      <c r="AO133" s="40">
        <f t="shared" si="147"/>
        <v>0</v>
      </c>
      <c r="AP133" s="40">
        <f t="shared" si="148"/>
        <v>0</v>
      </c>
      <c r="AQ133" s="44">
        <f t="shared" si="149"/>
        <v>7900.3919396511228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1333.1588900000002</v>
      </c>
      <c r="H134" s="35">
        <f t="shared" si="134"/>
        <v>1333.1588900000002</v>
      </c>
      <c r="I134" s="187">
        <v>1</v>
      </c>
      <c r="J134" s="212">
        <v>1333</v>
      </c>
      <c r="K134" s="217">
        <f t="shared" si="135"/>
        <v>1333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1397.6427510989979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1397.6427510989979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1503.7226697392284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1503.7226697392284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1616.3276883669346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1616.3276883669346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1734.0838972848044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1734.0838972848044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364</v>
      </c>
      <c r="G140" s="41">
        <f>SUM(G120:G139)</f>
        <v>160570.76788999999</v>
      </c>
      <c r="H140" s="41">
        <f>IFERROR(G140/F140,0)</f>
        <v>441.12848321428567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363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162732.43615999998</v>
      </c>
      <c r="K140" s="41">
        <f>IFERROR(J140/I140,"")</f>
        <v>448.2987222038567</v>
      </c>
      <c r="L140" s="41">
        <f>SUM(L120:L139)</f>
        <v>363</v>
      </c>
      <c r="M140" s="41">
        <f>IFERROR(S140/P140,0)</f>
        <v>496.34836222747663</v>
      </c>
      <c r="N140" s="41">
        <f t="shared" ref="N140:T140" si="151">SUM(N120:N139)</f>
        <v>23</v>
      </c>
      <c r="O140" s="41">
        <f t="shared" si="151"/>
        <v>0</v>
      </c>
      <c r="P140" s="41">
        <f t="shared" si="151"/>
        <v>386</v>
      </c>
      <c r="Q140" s="41">
        <f t="shared" si="151"/>
        <v>16338.667156398371</v>
      </c>
      <c r="R140" s="41">
        <f t="shared" si="151"/>
        <v>0</v>
      </c>
      <c r="S140" s="45">
        <f t="shared" si="151"/>
        <v>191590.46781980598</v>
      </c>
      <c r="T140" s="41">
        <f t="shared" si="151"/>
        <v>386</v>
      </c>
      <c r="U140" s="41">
        <f>IFERROR(AA140/X140,0)</f>
        <v>536.20598277624072</v>
      </c>
      <c r="V140" s="41">
        <f t="shared" ref="V140:AB140" si="152">SUM(V120:V139)</f>
        <v>0</v>
      </c>
      <c r="W140" s="41">
        <f t="shared" si="152"/>
        <v>9</v>
      </c>
      <c r="X140" s="41">
        <f t="shared" si="152"/>
        <v>377</v>
      </c>
      <c r="Y140" s="41">
        <f t="shared" si="152"/>
        <v>0</v>
      </c>
      <c r="Z140" s="41">
        <f t="shared" si="152"/>
        <v>-5533.2714424235928</v>
      </c>
      <c r="AA140" s="45">
        <f t="shared" si="152"/>
        <v>202149.65550664277</v>
      </c>
      <c r="AB140" s="41">
        <f t="shared" si="152"/>
        <v>377</v>
      </c>
      <c r="AC140" s="41">
        <f>IFERROR(AI140/AF140,0)</f>
        <v>579.295048231225</v>
      </c>
      <c r="AD140" s="41">
        <f t="shared" ref="AD140:AJ140" si="153">SUM(AD120:AD139)</f>
        <v>0</v>
      </c>
      <c r="AE140" s="41">
        <f t="shared" si="153"/>
        <v>6</v>
      </c>
      <c r="AF140" s="41">
        <f t="shared" si="153"/>
        <v>371</v>
      </c>
      <c r="AG140" s="41">
        <f t="shared" si="153"/>
        <v>0</v>
      </c>
      <c r="AH140" s="41">
        <f t="shared" si="153"/>
        <v>-4000.0216601361171</v>
      </c>
      <c r="AI140" s="45">
        <f t="shared" si="153"/>
        <v>214918.46289378448</v>
      </c>
      <c r="AJ140" s="41">
        <f t="shared" si="153"/>
        <v>371</v>
      </c>
      <c r="AK140" s="41">
        <f>IFERROR(AQ140/AN140,0)</f>
        <v>626.16501096248157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371</v>
      </c>
      <c r="AO140" s="41">
        <f t="shared" si="154"/>
        <v>0</v>
      </c>
      <c r="AP140" s="41">
        <f t="shared" si="154"/>
        <v>0</v>
      </c>
      <c r="AQ140" s="45">
        <f t="shared" si="154"/>
        <v>232307.21906708067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178390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182833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192056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206652.25600000002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-13200.467819805985</v>
      </c>
      <c r="T142" s="39"/>
      <c r="U142" s="39"/>
      <c r="V142" s="53"/>
      <c r="W142" s="53"/>
      <c r="X142" s="110"/>
      <c r="Y142" s="39"/>
      <c r="Z142" s="39"/>
      <c r="AA142" s="54">
        <f>AA141-AA140</f>
        <v>-19316.655506642768</v>
      </c>
      <c r="AB142" s="39"/>
      <c r="AC142" s="53"/>
      <c r="AD142" s="53"/>
      <c r="AE142" s="110"/>
      <c r="AF142" s="39"/>
      <c r="AG142" s="39"/>
      <c r="AH142" s="39"/>
      <c r="AI142" s="54">
        <f>AI141-AI140</f>
        <v>-22862.462893784483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-25654.963067080651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Mineral Policy and Promotion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531.27473999999995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1</v>
      </c>
      <c r="G151" s="35">
        <f>SUMIFS(WORKING!$AC$3:$AC$6802,WORKING!$A$3:$A$6802,Results!$D$3,WORKING!$B$3:$B$6802,Results!A151,WORKING!$C$3:$C$6802,Results!C151)/1000</f>
        <v>157.72604999999999</v>
      </c>
      <c r="H151" s="35">
        <f t="shared" si="161"/>
        <v>157.72604999999999</v>
      </c>
      <c r="I151" s="187">
        <v>1</v>
      </c>
      <c r="J151" s="212">
        <v>158</v>
      </c>
      <c r="K151" s="217">
        <f t="shared" si="162"/>
        <v>158</v>
      </c>
      <c r="L151" s="34">
        <f t="shared" si="155"/>
        <v>1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171.29684805424677</v>
      </c>
      <c r="N151" s="57">
        <v>0</v>
      </c>
      <c r="O151" s="57">
        <v>0</v>
      </c>
      <c r="P151" s="61">
        <f t="shared" si="156"/>
        <v>1</v>
      </c>
      <c r="Q151" s="40">
        <f t="shared" si="163"/>
        <v>0</v>
      </c>
      <c r="R151" s="40">
        <f t="shared" si="164"/>
        <v>0</v>
      </c>
      <c r="S151" s="44">
        <f t="shared" si="165"/>
        <v>171.29684805424677</v>
      </c>
      <c r="T151" s="35">
        <f t="shared" si="166"/>
        <v>1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185.65177911391152</v>
      </c>
      <c r="V151" s="57">
        <v>0</v>
      </c>
      <c r="W151" s="57">
        <v>0</v>
      </c>
      <c r="X151" s="61">
        <f t="shared" si="157"/>
        <v>1</v>
      </c>
      <c r="Y151" s="40">
        <f t="shared" si="167"/>
        <v>0</v>
      </c>
      <c r="Z151" s="40">
        <f t="shared" si="168"/>
        <v>0</v>
      </c>
      <c r="AA151" s="44">
        <f t="shared" si="169"/>
        <v>185.65177911391152</v>
      </c>
      <c r="AB151" s="35">
        <f t="shared" si="170"/>
        <v>1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201.02147781435528</v>
      </c>
      <c r="AD151" s="57">
        <v>0</v>
      </c>
      <c r="AE151" s="57">
        <v>0</v>
      </c>
      <c r="AF151" s="61">
        <f t="shared" si="158"/>
        <v>1</v>
      </c>
      <c r="AG151" s="40">
        <f t="shared" si="171"/>
        <v>0</v>
      </c>
      <c r="AH151" s="40">
        <f t="shared" si="172"/>
        <v>0</v>
      </c>
      <c r="AI151" s="44">
        <f t="shared" si="173"/>
        <v>201.02147781435528</v>
      </c>
      <c r="AJ151" s="35">
        <f t="shared" si="159"/>
        <v>1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217.25604500048894</v>
      </c>
      <c r="AL151" s="57">
        <v>0</v>
      </c>
      <c r="AM151" s="57">
        <v>0</v>
      </c>
      <c r="AN151" s="61">
        <f t="shared" si="160"/>
        <v>1</v>
      </c>
      <c r="AO151" s="40">
        <f t="shared" si="174"/>
        <v>0</v>
      </c>
      <c r="AP151" s="40">
        <f t="shared" si="175"/>
        <v>0</v>
      </c>
      <c r="AQ151" s="44">
        <f t="shared" si="176"/>
        <v>217.25604500048894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7</v>
      </c>
      <c r="G152" s="35">
        <f>SUMIFS(WORKING!$AC$3:$AC$6802,WORKING!$A$3:$A$6802,Results!$D$3,WORKING!$B$3:$B$6802,Results!A152,WORKING!$C$3:$C$6802,Results!C152)/1000</f>
        <v>1496.7765000000002</v>
      </c>
      <c r="H152" s="35">
        <f t="shared" si="161"/>
        <v>213.82521428571431</v>
      </c>
      <c r="I152" s="187">
        <v>7</v>
      </c>
      <c r="J152" s="212">
        <v>1497</v>
      </c>
      <c r="K152" s="217">
        <f t="shared" si="162"/>
        <v>213.85714285714286</v>
      </c>
      <c r="L152" s="34">
        <f t="shared" si="155"/>
        <v>7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232.26697156906218</v>
      </c>
      <c r="N152" s="57">
        <v>0</v>
      </c>
      <c r="O152" s="57">
        <v>0</v>
      </c>
      <c r="P152" s="61">
        <f t="shared" si="156"/>
        <v>7</v>
      </c>
      <c r="Q152" s="40">
        <f t="shared" si="163"/>
        <v>0</v>
      </c>
      <c r="R152" s="40">
        <f t="shared" si="164"/>
        <v>0</v>
      </c>
      <c r="S152" s="44">
        <f t="shared" si="165"/>
        <v>1625.8688009834352</v>
      </c>
      <c r="T152" s="35">
        <f t="shared" si="166"/>
        <v>7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251.8510009640224</v>
      </c>
      <c r="V152" s="57">
        <v>0</v>
      </c>
      <c r="W152" s="57">
        <v>0</v>
      </c>
      <c r="X152" s="61">
        <f t="shared" si="157"/>
        <v>7</v>
      </c>
      <c r="Y152" s="40">
        <f t="shared" si="167"/>
        <v>0</v>
      </c>
      <c r="Z152" s="40">
        <f t="shared" si="168"/>
        <v>0</v>
      </c>
      <c r="AA152" s="44">
        <f t="shared" si="169"/>
        <v>1762.9570067481568</v>
      </c>
      <c r="AB152" s="35">
        <f t="shared" si="170"/>
        <v>7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272.83123628065425</v>
      </c>
      <c r="AD152" s="57">
        <v>0</v>
      </c>
      <c r="AE152" s="57">
        <v>0</v>
      </c>
      <c r="AF152" s="61">
        <f t="shared" si="158"/>
        <v>7</v>
      </c>
      <c r="AG152" s="40">
        <f t="shared" si="171"/>
        <v>0</v>
      </c>
      <c r="AH152" s="40">
        <f t="shared" si="172"/>
        <v>0</v>
      </c>
      <c r="AI152" s="44">
        <f t="shared" si="173"/>
        <v>1909.8186539645799</v>
      </c>
      <c r="AJ152" s="35">
        <f t="shared" si="159"/>
        <v>7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295.00660035207449</v>
      </c>
      <c r="AL152" s="57">
        <v>0</v>
      </c>
      <c r="AM152" s="57">
        <v>0</v>
      </c>
      <c r="AN152" s="61">
        <f t="shared" si="160"/>
        <v>7</v>
      </c>
      <c r="AO152" s="40">
        <f t="shared" si="174"/>
        <v>0</v>
      </c>
      <c r="AP152" s="40">
        <f t="shared" si="175"/>
        <v>0</v>
      </c>
      <c r="AQ152" s="44">
        <f t="shared" si="176"/>
        <v>2065.0462024645212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4</v>
      </c>
      <c r="G153" s="35">
        <f>SUMIFS(WORKING!$AC$3:$AC$6802,WORKING!$A$3:$A$6802,Results!$D$3,WORKING!$B$3:$B$6802,Results!A153,WORKING!$C$3:$C$6802,Results!C153)/1000</f>
        <v>1043.3046399999998</v>
      </c>
      <c r="H153" s="35">
        <f t="shared" si="161"/>
        <v>260.82615999999996</v>
      </c>
      <c r="I153" s="187">
        <v>4</v>
      </c>
      <c r="J153" s="212">
        <v>1043</v>
      </c>
      <c r="K153" s="217">
        <f t="shared" si="162"/>
        <v>260.75</v>
      </c>
      <c r="L153" s="34">
        <f t="shared" si="155"/>
        <v>4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283.43005451140891</v>
      </c>
      <c r="N153" s="57">
        <v>0</v>
      </c>
      <c r="O153" s="57">
        <v>0</v>
      </c>
      <c r="P153" s="61">
        <f t="shared" si="156"/>
        <v>4</v>
      </c>
      <c r="Q153" s="40">
        <f t="shared" si="163"/>
        <v>0</v>
      </c>
      <c r="R153" s="40">
        <f t="shared" si="164"/>
        <v>0</v>
      </c>
      <c r="S153" s="44">
        <f t="shared" si="165"/>
        <v>1133.7202180456356</v>
      </c>
      <c r="T153" s="35">
        <f t="shared" si="166"/>
        <v>4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307.39938842742566</v>
      </c>
      <c r="V153" s="57">
        <v>0</v>
      </c>
      <c r="W153" s="57">
        <v>0</v>
      </c>
      <c r="X153" s="61">
        <f t="shared" si="157"/>
        <v>4</v>
      </c>
      <c r="Y153" s="40">
        <f t="shared" si="167"/>
        <v>0</v>
      </c>
      <c r="Z153" s="40">
        <f t="shared" si="168"/>
        <v>0</v>
      </c>
      <c r="AA153" s="44">
        <f t="shared" si="169"/>
        <v>1229.5975537097027</v>
      </c>
      <c r="AB153" s="35">
        <f t="shared" si="170"/>
        <v>4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333.08442926256146</v>
      </c>
      <c r="AD153" s="57">
        <v>0</v>
      </c>
      <c r="AE153" s="57">
        <v>0</v>
      </c>
      <c r="AF153" s="61">
        <f t="shared" si="158"/>
        <v>4</v>
      </c>
      <c r="AG153" s="40">
        <f t="shared" si="171"/>
        <v>0</v>
      </c>
      <c r="AH153" s="40">
        <f t="shared" si="172"/>
        <v>0</v>
      </c>
      <c r="AI153" s="44">
        <f t="shared" si="173"/>
        <v>1332.3377170502458</v>
      </c>
      <c r="AJ153" s="35">
        <f t="shared" si="159"/>
        <v>4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360.24087633545895</v>
      </c>
      <c r="AL153" s="57">
        <v>0</v>
      </c>
      <c r="AM153" s="57">
        <v>0</v>
      </c>
      <c r="AN153" s="61">
        <f t="shared" si="160"/>
        <v>4</v>
      </c>
      <c r="AO153" s="40">
        <f t="shared" si="174"/>
        <v>0</v>
      </c>
      <c r="AP153" s="40">
        <f t="shared" si="175"/>
        <v>0</v>
      </c>
      <c r="AQ153" s="44">
        <f t="shared" si="176"/>
        <v>1440.9635053418358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14</v>
      </c>
      <c r="G154" s="35">
        <f>SUMIFS(WORKING!$AC$3:$AC$6802,WORKING!$A$3:$A$6802,Results!$D$3,WORKING!$B$3:$B$6802,Results!A154,WORKING!$C$3:$C$6802,Results!C154)/1000</f>
        <v>4346.6455900000001</v>
      </c>
      <c r="H154" s="35">
        <f t="shared" si="161"/>
        <v>310.47468500000002</v>
      </c>
      <c r="I154" s="187">
        <v>14</v>
      </c>
      <c r="J154" s="212">
        <v>4347</v>
      </c>
      <c r="K154" s="217">
        <f t="shared" si="162"/>
        <v>310.5</v>
      </c>
      <c r="L154" s="34">
        <f t="shared" si="155"/>
        <v>14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337.86981634399075</v>
      </c>
      <c r="N154" s="57">
        <v>0</v>
      </c>
      <c r="O154" s="57">
        <v>0</v>
      </c>
      <c r="P154" s="61">
        <f t="shared" si="156"/>
        <v>14</v>
      </c>
      <c r="Q154" s="40">
        <f t="shared" si="163"/>
        <v>0</v>
      </c>
      <c r="R154" s="40">
        <f t="shared" si="164"/>
        <v>0</v>
      </c>
      <c r="S154" s="44">
        <f t="shared" si="165"/>
        <v>4730.1774288158704</v>
      </c>
      <c r="T154" s="35">
        <f t="shared" si="166"/>
        <v>14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366.55739077088862</v>
      </c>
      <c r="V154" s="57">
        <v>0</v>
      </c>
      <c r="W154" s="57">
        <v>0</v>
      </c>
      <c r="X154" s="61">
        <f t="shared" si="157"/>
        <v>14</v>
      </c>
      <c r="Y154" s="40">
        <f t="shared" si="167"/>
        <v>0</v>
      </c>
      <c r="Z154" s="40">
        <f t="shared" si="168"/>
        <v>0</v>
      </c>
      <c r="AA154" s="44">
        <f t="shared" si="169"/>
        <v>5131.8034707924407</v>
      </c>
      <c r="AB154" s="35">
        <f t="shared" si="170"/>
        <v>14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397.3092525551678</v>
      </c>
      <c r="AD154" s="57">
        <v>0</v>
      </c>
      <c r="AE154" s="57">
        <v>0</v>
      </c>
      <c r="AF154" s="61">
        <f t="shared" si="158"/>
        <v>14</v>
      </c>
      <c r="AG154" s="40">
        <f t="shared" si="171"/>
        <v>0</v>
      </c>
      <c r="AH154" s="40">
        <f t="shared" si="172"/>
        <v>0</v>
      </c>
      <c r="AI154" s="44">
        <f t="shared" si="173"/>
        <v>5562.3295357723491</v>
      </c>
      <c r="AJ154" s="35">
        <f t="shared" si="159"/>
        <v>14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429.83568275684496</v>
      </c>
      <c r="AL154" s="57">
        <v>0</v>
      </c>
      <c r="AM154" s="57">
        <v>0</v>
      </c>
      <c r="AN154" s="61">
        <f t="shared" si="160"/>
        <v>14</v>
      </c>
      <c r="AO154" s="40">
        <f t="shared" si="174"/>
        <v>0</v>
      </c>
      <c r="AP154" s="40">
        <f t="shared" si="175"/>
        <v>0</v>
      </c>
      <c r="AQ154" s="44">
        <f t="shared" si="176"/>
        <v>6017.6995585958293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12</v>
      </c>
      <c r="G155" s="35">
        <f>SUMIFS(WORKING!$AC$3:$AC$6802,WORKING!$A$3:$A$6802,Results!$D$3,WORKING!$B$3:$B$6802,Results!A155,WORKING!$C$3:$C$6802,Results!C155)/1000</f>
        <v>4247.2246500000001</v>
      </c>
      <c r="H155" s="35">
        <f t="shared" si="161"/>
        <v>353.93538749999999</v>
      </c>
      <c r="I155" s="187">
        <v>12</v>
      </c>
      <c r="J155" s="212">
        <v>4247</v>
      </c>
      <c r="K155" s="217">
        <f t="shared" si="162"/>
        <v>353.91666666666669</v>
      </c>
      <c r="L155" s="34">
        <f t="shared" si="155"/>
        <v>12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385.23943935107798</v>
      </c>
      <c r="N155" s="57">
        <v>0</v>
      </c>
      <c r="O155" s="57">
        <v>0</v>
      </c>
      <c r="P155" s="61">
        <f t="shared" si="156"/>
        <v>12</v>
      </c>
      <c r="Q155" s="40">
        <f t="shared" si="163"/>
        <v>0</v>
      </c>
      <c r="R155" s="40">
        <f t="shared" si="164"/>
        <v>0</v>
      </c>
      <c r="S155" s="44">
        <f t="shared" si="165"/>
        <v>4622.8732722129353</v>
      </c>
      <c r="T155" s="35">
        <f t="shared" si="166"/>
        <v>12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417.98884668504098</v>
      </c>
      <c r="V155" s="57">
        <v>0</v>
      </c>
      <c r="W155" s="57">
        <v>0</v>
      </c>
      <c r="X155" s="61">
        <f t="shared" si="157"/>
        <v>12</v>
      </c>
      <c r="Y155" s="40">
        <f t="shared" si="167"/>
        <v>0</v>
      </c>
      <c r="Z155" s="40">
        <f t="shared" si="168"/>
        <v>0</v>
      </c>
      <c r="AA155" s="44">
        <f t="shared" si="169"/>
        <v>5015.866160220492</v>
      </c>
      <c r="AB155" s="35">
        <f t="shared" si="170"/>
        <v>12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453.09859812179042</v>
      </c>
      <c r="AD155" s="57">
        <v>0</v>
      </c>
      <c r="AE155" s="57">
        <v>0</v>
      </c>
      <c r="AF155" s="61">
        <f t="shared" si="158"/>
        <v>12</v>
      </c>
      <c r="AG155" s="40">
        <f t="shared" si="171"/>
        <v>0</v>
      </c>
      <c r="AH155" s="40">
        <f t="shared" si="172"/>
        <v>0</v>
      </c>
      <c r="AI155" s="44">
        <f t="shared" si="173"/>
        <v>5437.1831774614848</v>
      </c>
      <c r="AJ155" s="35">
        <f t="shared" si="159"/>
        <v>12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490.23887904644295</v>
      </c>
      <c r="AL155" s="57">
        <v>0</v>
      </c>
      <c r="AM155" s="57">
        <v>0</v>
      </c>
      <c r="AN155" s="61">
        <f t="shared" si="160"/>
        <v>12</v>
      </c>
      <c r="AO155" s="40">
        <f t="shared" si="174"/>
        <v>0</v>
      </c>
      <c r="AP155" s="40">
        <f t="shared" si="175"/>
        <v>0</v>
      </c>
      <c r="AQ155" s="44">
        <f t="shared" si="176"/>
        <v>5882.8665485573156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2</v>
      </c>
      <c r="G156" s="35">
        <f>SUMIFS(WORKING!$AC$3:$AC$6802,WORKING!$A$3:$A$6802,Results!$D$3,WORKING!$B$3:$B$6802,Results!A156,WORKING!$C$3:$C$6802,Results!C156)/1000</f>
        <v>953.85023999999999</v>
      </c>
      <c r="H156" s="35">
        <f t="shared" si="161"/>
        <v>476.92511999999999</v>
      </c>
      <c r="I156" s="187">
        <v>2</v>
      </c>
      <c r="J156" s="212">
        <v>954</v>
      </c>
      <c r="K156" s="217">
        <f t="shared" si="162"/>
        <v>477</v>
      </c>
      <c r="L156" s="34">
        <f t="shared" si="155"/>
        <v>2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519.49806836892515</v>
      </c>
      <c r="N156" s="57">
        <v>0</v>
      </c>
      <c r="O156" s="57">
        <v>0</v>
      </c>
      <c r="P156" s="61">
        <f t="shared" si="156"/>
        <v>2</v>
      </c>
      <c r="Q156" s="40">
        <f t="shared" si="163"/>
        <v>0</v>
      </c>
      <c r="R156" s="40">
        <f t="shared" si="164"/>
        <v>0</v>
      </c>
      <c r="S156" s="44">
        <f t="shared" si="165"/>
        <v>1038.9961367378503</v>
      </c>
      <c r="T156" s="35">
        <f t="shared" si="166"/>
        <v>2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563.75119516867289</v>
      </c>
      <c r="V156" s="57">
        <v>0</v>
      </c>
      <c r="W156" s="57">
        <v>0</v>
      </c>
      <c r="X156" s="61">
        <f t="shared" si="157"/>
        <v>2</v>
      </c>
      <c r="Y156" s="40">
        <f t="shared" si="167"/>
        <v>0</v>
      </c>
      <c r="Z156" s="40">
        <f t="shared" si="168"/>
        <v>0</v>
      </c>
      <c r="AA156" s="44">
        <f t="shared" si="169"/>
        <v>1127.5023903373458</v>
      </c>
      <c r="AB156" s="35">
        <f t="shared" si="170"/>
        <v>2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611.20229125512617</v>
      </c>
      <c r="AD156" s="57">
        <v>0</v>
      </c>
      <c r="AE156" s="57">
        <v>0</v>
      </c>
      <c r="AF156" s="61">
        <f t="shared" si="158"/>
        <v>2</v>
      </c>
      <c r="AG156" s="40">
        <f t="shared" si="171"/>
        <v>0</v>
      </c>
      <c r="AH156" s="40">
        <f t="shared" si="172"/>
        <v>0</v>
      </c>
      <c r="AI156" s="44">
        <f t="shared" si="173"/>
        <v>1222.4045825102523</v>
      </c>
      <c r="AJ156" s="35">
        <f t="shared" si="159"/>
        <v>2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661.40770524667039</v>
      </c>
      <c r="AL156" s="57">
        <v>0</v>
      </c>
      <c r="AM156" s="57">
        <v>0</v>
      </c>
      <c r="AN156" s="61">
        <f t="shared" si="160"/>
        <v>2</v>
      </c>
      <c r="AO156" s="40">
        <f t="shared" si="174"/>
        <v>0</v>
      </c>
      <c r="AP156" s="40">
        <f t="shared" si="175"/>
        <v>0</v>
      </c>
      <c r="AQ156" s="44">
        <f t="shared" si="176"/>
        <v>1322.8154104933408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25</v>
      </c>
      <c r="G157" s="35">
        <f>SUMIFS(WORKING!$AC$3:$AC$6802,WORKING!$A$3:$A$6802,Results!$D$3,WORKING!$B$3:$B$6802,Results!A157,WORKING!$C$3:$C$6802,Results!C157)/1000</f>
        <v>12782.568310000001</v>
      </c>
      <c r="H157" s="35">
        <f t="shared" si="161"/>
        <v>511.30273240000002</v>
      </c>
      <c r="I157" s="187">
        <v>25</v>
      </c>
      <c r="J157" s="212">
        <v>12783</v>
      </c>
      <c r="K157" s="217">
        <f t="shared" si="162"/>
        <v>511.32</v>
      </c>
      <c r="L157" s="34">
        <f t="shared" si="155"/>
        <v>25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557.30658749535007</v>
      </c>
      <c r="N157" s="57">
        <v>1</v>
      </c>
      <c r="O157" s="57">
        <v>0</v>
      </c>
      <c r="P157" s="61">
        <f t="shared" si="156"/>
        <v>26</v>
      </c>
      <c r="Q157" s="40">
        <f t="shared" si="163"/>
        <v>557.30658749535007</v>
      </c>
      <c r="R157" s="40">
        <f t="shared" si="164"/>
        <v>0</v>
      </c>
      <c r="S157" s="44">
        <f t="shared" si="165"/>
        <v>14489.971274879103</v>
      </c>
      <c r="T157" s="35">
        <f t="shared" si="166"/>
        <v>26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604.91243490983322</v>
      </c>
      <c r="V157" s="57">
        <v>0</v>
      </c>
      <c r="W157" s="57">
        <v>9</v>
      </c>
      <c r="X157" s="61">
        <f t="shared" si="157"/>
        <v>17</v>
      </c>
      <c r="Y157" s="40">
        <f t="shared" si="167"/>
        <v>0</v>
      </c>
      <c r="Z157" s="40">
        <f t="shared" si="168"/>
        <v>-5444.2119141884987</v>
      </c>
      <c r="AA157" s="44">
        <f t="shared" si="169"/>
        <v>10283.511393467164</v>
      </c>
      <c r="AB157" s="35">
        <f t="shared" si="170"/>
        <v>17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655.9713141562496</v>
      </c>
      <c r="AD157" s="57">
        <v>0</v>
      </c>
      <c r="AE157" s="57">
        <v>0</v>
      </c>
      <c r="AF157" s="61">
        <f t="shared" si="158"/>
        <v>17</v>
      </c>
      <c r="AG157" s="40">
        <f t="shared" si="171"/>
        <v>0</v>
      </c>
      <c r="AH157" s="40">
        <f t="shared" si="172"/>
        <v>0</v>
      </c>
      <c r="AI157" s="44">
        <f t="shared" si="173"/>
        <v>11151.512340656243</v>
      </c>
      <c r="AJ157" s="35">
        <f t="shared" si="159"/>
        <v>17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710.00931009864962</v>
      </c>
      <c r="AL157" s="57">
        <v>0</v>
      </c>
      <c r="AM157" s="57">
        <v>0</v>
      </c>
      <c r="AN157" s="61">
        <f t="shared" si="160"/>
        <v>17</v>
      </c>
      <c r="AO157" s="40">
        <f t="shared" si="174"/>
        <v>0</v>
      </c>
      <c r="AP157" s="40">
        <f t="shared" si="175"/>
        <v>0</v>
      </c>
      <c r="AQ157" s="44">
        <f t="shared" si="176"/>
        <v>12070.158271677043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8</v>
      </c>
      <c r="G158" s="35">
        <f>SUMIFS(WORKING!$AC$3:$AC$6802,WORKING!$A$3:$A$6802,Results!$D$3,WORKING!$B$3:$B$6802,Results!A158,WORKING!$C$3:$C$6802,Results!C158)/1000</f>
        <v>5388.2831400000005</v>
      </c>
      <c r="H158" s="35">
        <f t="shared" si="161"/>
        <v>673.53539250000006</v>
      </c>
      <c r="I158" s="187">
        <v>8</v>
      </c>
      <c r="J158" s="212">
        <v>5388</v>
      </c>
      <c r="K158" s="217">
        <f t="shared" si="162"/>
        <v>673.5</v>
      </c>
      <c r="L158" s="34">
        <f t="shared" si="155"/>
        <v>8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735.23623861461101</v>
      </c>
      <c r="N158" s="57">
        <v>0</v>
      </c>
      <c r="O158" s="57">
        <v>0</v>
      </c>
      <c r="P158" s="61">
        <f t="shared" si="156"/>
        <v>8</v>
      </c>
      <c r="Q158" s="40">
        <f t="shared" si="163"/>
        <v>0</v>
      </c>
      <c r="R158" s="40">
        <f t="shared" si="164"/>
        <v>0</v>
      </c>
      <c r="S158" s="44">
        <f t="shared" si="165"/>
        <v>5881.8899089168881</v>
      </c>
      <c r="T158" s="35">
        <f t="shared" si="166"/>
        <v>8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798.15587638261604</v>
      </c>
      <c r="V158" s="57">
        <v>0</v>
      </c>
      <c r="W158" s="57">
        <v>0</v>
      </c>
      <c r="X158" s="61">
        <f t="shared" si="157"/>
        <v>8</v>
      </c>
      <c r="Y158" s="40">
        <f t="shared" si="167"/>
        <v>0</v>
      </c>
      <c r="Z158" s="40">
        <f t="shared" si="168"/>
        <v>0</v>
      </c>
      <c r="AA158" s="44">
        <f t="shared" si="169"/>
        <v>6385.2470110609283</v>
      </c>
      <c r="AB158" s="35">
        <f t="shared" si="170"/>
        <v>8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865.6502401894096</v>
      </c>
      <c r="AD158" s="57">
        <v>0</v>
      </c>
      <c r="AE158" s="57">
        <v>0</v>
      </c>
      <c r="AF158" s="61">
        <f t="shared" si="158"/>
        <v>8</v>
      </c>
      <c r="AG158" s="40">
        <f t="shared" si="171"/>
        <v>0</v>
      </c>
      <c r="AH158" s="40">
        <f t="shared" si="172"/>
        <v>0</v>
      </c>
      <c r="AI158" s="44">
        <f t="shared" si="173"/>
        <v>6925.2019215152768</v>
      </c>
      <c r="AJ158" s="35">
        <f t="shared" si="159"/>
        <v>8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937.09561676605688</v>
      </c>
      <c r="AL158" s="57">
        <v>0</v>
      </c>
      <c r="AM158" s="57">
        <v>0</v>
      </c>
      <c r="AN158" s="61">
        <f t="shared" si="160"/>
        <v>8</v>
      </c>
      <c r="AO158" s="40">
        <f t="shared" si="174"/>
        <v>0</v>
      </c>
      <c r="AP158" s="40">
        <f t="shared" si="175"/>
        <v>0</v>
      </c>
      <c r="AQ158" s="44">
        <f t="shared" si="176"/>
        <v>7496.764934128455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24</v>
      </c>
      <c r="G159" s="35">
        <f>SUMIFS(WORKING!$AC$3:$AC$6802,WORKING!$A$3:$A$6802,Results!$D$3,WORKING!$B$3:$B$6802,Results!A159,WORKING!$C$3:$C$6802,Results!C159)/1000</f>
        <v>17976.357309999996</v>
      </c>
      <c r="H159" s="35">
        <f t="shared" si="161"/>
        <v>749.01488791666645</v>
      </c>
      <c r="I159" s="187">
        <v>24</v>
      </c>
      <c r="J159" s="212">
        <v>18340</v>
      </c>
      <c r="K159" s="217">
        <f t="shared" si="162"/>
        <v>764.16666666666663</v>
      </c>
      <c r="L159" s="34">
        <f t="shared" si="155"/>
        <v>24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834.21488228566</v>
      </c>
      <c r="N159" s="57">
        <v>1</v>
      </c>
      <c r="O159" s="57">
        <v>0</v>
      </c>
      <c r="P159" s="61">
        <f t="shared" si="156"/>
        <v>25</v>
      </c>
      <c r="Q159" s="40">
        <f t="shared" si="163"/>
        <v>834.21488228566</v>
      </c>
      <c r="R159" s="40">
        <f t="shared" si="164"/>
        <v>0</v>
      </c>
      <c r="S159" s="44">
        <f t="shared" si="165"/>
        <v>20855.3720571415</v>
      </c>
      <c r="T159" s="35">
        <f t="shared" si="166"/>
        <v>25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905.6059836886393</v>
      </c>
      <c r="V159" s="57">
        <v>0</v>
      </c>
      <c r="W159" s="57">
        <v>0</v>
      </c>
      <c r="X159" s="61">
        <f t="shared" si="157"/>
        <v>25</v>
      </c>
      <c r="Y159" s="40">
        <f t="shared" si="167"/>
        <v>0</v>
      </c>
      <c r="Z159" s="40">
        <f t="shared" si="168"/>
        <v>0</v>
      </c>
      <c r="AA159" s="44">
        <f t="shared" si="169"/>
        <v>22640.149592215981</v>
      </c>
      <c r="AB159" s="35">
        <f t="shared" si="170"/>
        <v>25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982.18785800617991</v>
      </c>
      <c r="AD159" s="57">
        <v>0</v>
      </c>
      <c r="AE159" s="57">
        <v>6</v>
      </c>
      <c r="AF159" s="61">
        <f t="shared" si="158"/>
        <v>19</v>
      </c>
      <c r="AG159" s="40">
        <f t="shared" si="171"/>
        <v>0</v>
      </c>
      <c r="AH159" s="40">
        <f t="shared" si="172"/>
        <v>-5893.1271480370797</v>
      </c>
      <c r="AI159" s="44">
        <f t="shared" si="173"/>
        <v>18661.569302117419</v>
      </c>
      <c r="AJ159" s="35">
        <f t="shared" si="159"/>
        <v>19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1063.2528434183087</v>
      </c>
      <c r="AL159" s="57">
        <v>0</v>
      </c>
      <c r="AM159" s="57">
        <v>0</v>
      </c>
      <c r="AN159" s="61">
        <f t="shared" si="160"/>
        <v>19</v>
      </c>
      <c r="AO159" s="40">
        <f t="shared" si="174"/>
        <v>0</v>
      </c>
      <c r="AP159" s="40">
        <f t="shared" si="175"/>
        <v>0</v>
      </c>
      <c r="AQ159" s="44">
        <f t="shared" si="176"/>
        <v>20201.804024947865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9</v>
      </c>
      <c r="G160" s="35">
        <f>SUMIFS(WORKING!$AC$3:$AC$6802,WORKING!$A$3:$A$6802,Results!$D$3,WORKING!$B$3:$B$6802,Results!A160,WORKING!$C$3:$C$6802,Results!C160)/1000</f>
        <v>8502.6851800000022</v>
      </c>
      <c r="H160" s="35">
        <f t="shared" si="161"/>
        <v>944.74279777777804</v>
      </c>
      <c r="I160" s="187">
        <v>9</v>
      </c>
      <c r="J160" s="212">
        <v>8503</v>
      </c>
      <c r="K160" s="217">
        <f t="shared" si="162"/>
        <v>944.77777777777783</v>
      </c>
      <c r="L160" s="34">
        <f t="shared" si="155"/>
        <v>9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990.05717963236089</v>
      </c>
      <c r="N160" s="57">
        <v>1</v>
      </c>
      <c r="O160" s="57">
        <v>0</v>
      </c>
      <c r="P160" s="61">
        <f t="shared" si="156"/>
        <v>10</v>
      </c>
      <c r="Q160" s="40">
        <f t="shared" si="163"/>
        <v>990.05717963236089</v>
      </c>
      <c r="R160" s="40">
        <f t="shared" si="164"/>
        <v>0</v>
      </c>
      <c r="S160" s="44">
        <f t="shared" si="165"/>
        <v>9900.5717963236093</v>
      </c>
      <c r="T160" s="35">
        <f t="shared" si="166"/>
        <v>10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1064.6244334130827</v>
      </c>
      <c r="V160" s="57">
        <v>0</v>
      </c>
      <c r="W160" s="57">
        <v>0</v>
      </c>
      <c r="X160" s="61">
        <f t="shared" si="157"/>
        <v>10</v>
      </c>
      <c r="Y160" s="40">
        <f t="shared" si="167"/>
        <v>0</v>
      </c>
      <c r="Z160" s="40">
        <f t="shared" si="168"/>
        <v>0</v>
      </c>
      <c r="AA160" s="44">
        <f t="shared" si="169"/>
        <v>10646.244334130826</v>
      </c>
      <c r="AB160" s="35">
        <f t="shared" si="170"/>
        <v>10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1143.7277951955152</v>
      </c>
      <c r="AD160" s="57">
        <v>0</v>
      </c>
      <c r="AE160" s="57">
        <v>0</v>
      </c>
      <c r="AF160" s="61">
        <f t="shared" si="158"/>
        <v>10</v>
      </c>
      <c r="AG160" s="40">
        <f t="shared" si="171"/>
        <v>0</v>
      </c>
      <c r="AH160" s="40">
        <f t="shared" si="172"/>
        <v>0</v>
      </c>
      <c r="AI160" s="44">
        <f t="shared" si="173"/>
        <v>11437.277951955151</v>
      </c>
      <c r="AJ160" s="35">
        <f t="shared" si="159"/>
        <v>10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1226.3881606038956</v>
      </c>
      <c r="AL160" s="57">
        <v>0</v>
      </c>
      <c r="AM160" s="57">
        <v>0</v>
      </c>
      <c r="AN160" s="61">
        <f t="shared" si="160"/>
        <v>10</v>
      </c>
      <c r="AO160" s="40">
        <f t="shared" si="174"/>
        <v>0</v>
      </c>
      <c r="AP160" s="40">
        <f t="shared" si="175"/>
        <v>0</v>
      </c>
      <c r="AQ160" s="44">
        <f t="shared" si="176"/>
        <v>12263.881606038956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2</v>
      </c>
      <c r="G161" s="35">
        <f>SUMIFS(WORKING!$AC$3:$AC$6802,WORKING!$A$3:$A$6802,Results!$D$3,WORKING!$B$3:$B$6802,Results!A161,WORKING!$C$3:$C$6802,Results!C161)/1000</f>
        <v>1782.05198</v>
      </c>
      <c r="H161" s="35">
        <f t="shared" si="161"/>
        <v>891.02598999999998</v>
      </c>
      <c r="I161" s="187">
        <v>2</v>
      </c>
      <c r="J161" s="212">
        <v>1782</v>
      </c>
      <c r="K161" s="217">
        <f t="shared" si="162"/>
        <v>891</v>
      </c>
      <c r="L161" s="34">
        <f t="shared" si="155"/>
        <v>2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934.18561259501087</v>
      </c>
      <c r="N161" s="57">
        <v>2</v>
      </c>
      <c r="O161" s="57">
        <v>0</v>
      </c>
      <c r="P161" s="61">
        <f t="shared" si="156"/>
        <v>4</v>
      </c>
      <c r="Q161" s="40">
        <f t="shared" si="163"/>
        <v>1868.3712251900217</v>
      </c>
      <c r="R161" s="40">
        <f t="shared" si="164"/>
        <v>0</v>
      </c>
      <c r="S161" s="44">
        <f t="shared" si="165"/>
        <v>3736.7424503800435</v>
      </c>
      <c r="T161" s="35">
        <f t="shared" si="166"/>
        <v>4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1005.0650902988003</v>
      </c>
      <c r="V161" s="57">
        <v>0</v>
      </c>
      <c r="W161" s="57">
        <v>0</v>
      </c>
      <c r="X161" s="61">
        <f t="shared" si="157"/>
        <v>4</v>
      </c>
      <c r="Y161" s="40">
        <f t="shared" si="167"/>
        <v>0</v>
      </c>
      <c r="Z161" s="40">
        <f t="shared" si="168"/>
        <v>0</v>
      </c>
      <c r="AA161" s="44">
        <f t="shared" si="169"/>
        <v>4020.2603611952013</v>
      </c>
      <c r="AB161" s="35">
        <f t="shared" si="170"/>
        <v>4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1080.3022921006175</v>
      </c>
      <c r="AD161" s="57">
        <v>0</v>
      </c>
      <c r="AE161" s="57">
        <v>0</v>
      </c>
      <c r="AF161" s="61">
        <f t="shared" si="158"/>
        <v>4</v>
      </c>
      <c r="AG161" s="40">
        <f t="shared" si="171"/>
        <v>0</v>
      </c>
      <c r="AH161" s="40">
        <f t="shared" si="172"/>
        <v>0</v>
      </c>
      <c r="AI161" s="44">
        <f t="shared" si="173"/>
        <v>4321.2091684024699</v>
      </c>
      <c r="AJ161" s="35">
        <f t="shared" si="159"/>
        <v>4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1158.9786446483083</v>
      </c>
      <c r="AL161" s="57">
        <v>0</v>
      </c>
      <c r="AM161" s="57">
        <v>0</v>
      </c>
      <c r="AN161" s="61">
        <f t="shared" si="160"/>
        <v>4</v>
      </c>
      <c r="AO161" s="40">
        <f t="shared" si="174"/>
        <v>0</v>
      </c>
      <c r="AP161" s="40">
        <f t="shared" si="175"/>
        <v>0</v>
      </c>
      <c r="AQ161" s="44">
        <f t="shared" si="176"/>
        <v>4635.9145785932333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1428.2557799999997</v>
      </c>
      <c r="H162" s="35">
        <f t="shared" si="161"/>
        <v>1428.2557799999997</v>
      </c>
      <c r="I162" s="187">
        <v>1</v>
      </c>
      <c r="J162" s="212">
        <v>1428</v>
      </c>
      <c r="K162" s="217">
        <f t="shared" si="162"/>
        <v>1428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1497.249776163934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1497.249776163934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1610.8898680763975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1610.8898680763975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1731.5201024265496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1731.5201024265496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1857.6686547510919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1857.6686547510919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109</v>
      </c>
      <c r="G168" s="41">
        <f>SUM(G148:G167)</f>
        <v>60637.004109999994</v>
      </c>
      <c r="H168" s="41">
        <f>IFERROR(G168/F168,0)</f>
        <v>556.30278999999996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109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61001.274740000001</v>
      </c>
      <c r="K168" s="41">
        <f>IFERROR(J168/I168,"")</f>
        <v>559.64472238532107</v>
      </c>
      <c r="L168" s="41">
        <f>SUM(L148:L167)</f>
        <v>109</v>
      </c>
      <c r="M168" s="41">
        <f>IFERROR(S168/P168,0)</f>
        <v>611.26956112855305</v>
      </c>
      <c r="N168" s="41">
        <f t="shared" ref="N168:T168" si="177">SUM(N148:N167)</f>
        <v>5</v>
      </c>
      <c r="O168" s="41">
        <f t="shared" si="177"/>
        <v>0</v>
      </c>
      <c r="P168" s="41">
        <f t="shared" si="177"/>
        <v>114</v>
      </c>
      <c r="Q168" s="41">
        <f t="shared" si="177"/>
        <v>4249.9498746033923</v>
      </c>
      <c r="R168" s="41">
        <f t="shared" si="177"/>
        <v>0</v>
      </c>
      <c r="S168" s="45">
        <f t="shared" si="177"/>
        <v>69684.729968655054</v>
      </c>
      <c r="T168" s="41">
        <f t="shared" si="177"/>
        <v>114</v>
      </c>
      <c r="U168" s="41">
        <f>IFERROR(AA168/X168,0)</f>
        <v>667.04458020065283</v>
      </c>
      <c r="V168" s="41">
        <f t="shared" ref="V168:AB168" si="178">SUM(V148:V167)</f>
        <v>0</v>
      </c>
      <c r="W168" s="41">
        <f t="shared" si="178"/>
        <v>9</v>
      </c>
      <c r="X168" s="41">
        <f t="shared" si="178"/>
        <v>105</v>
      </c>
      <c r="Y168" s="41">
        <f t="shared" si="178"/>
        <v>0</v>
      </c>
      <c r="Z168" s="41">
        <f t="shared" si="178"/>
        <v>-5444.2119141884987</v>
      </c>
      <c r="AA168" s="45">
        <f t="shared" si="178"/>
        <v>70039.680921068546</v>
      </c>
      <c r="AB168" s="41">
        <f t="shared" si="178"/>
        <v>105</v>
      </c>
      <c r="AC168" s="41">
        <f>IFERROR(AI168/AF168,0)</f>
        <v>705.9937972893573</v>
      </c>
      <c r="AD168" s="41">
        <f t="shared" ref="AD168:AJ168" si="179">SUM(AD148:AD167)</f>
        <v>0</v>
      </c>
      <c r="AE168" s="41">
        <f t="shared" si="179"/>
        <v>6</v>
      </c>
      <c r="AF168" s="41">
        <f t="shared" si="179"/>
        <v>99</v>
      </c>
      <c r="AG168" s="41">
        <f t="shared" si="179"/>
        <v>0</v>
      </c>
      <c r="AH168" s="41">
        <f t="shared" si="179"/>
        <v>-5893.1271480370797</v>
      </c>
      <c r="AI168" s="45">
        <f t="shared" si="179"/>
        <v>69893.385931646379</v>
      </c>
      <c r="AJ168" s="41">
        <f t="shared" si="179"/>
        <v>99</v>
      </c>
      <c r="AK168" s="41">
        <f>IFERROR(AQ168/AN168,0)</f>
        <v>762.35191253121184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99</v>
      </c>
      <c r="AO168" s="41">
        <f t="shared" si="180"/>
        <v>0</v>
      </c>
      <c r="AP168" s="41">
        <f t="shared" si="180"/>
        <v>0</v>
      </c>
      <c r="AQ168" s="45">
        <f t="shared" si="180"/>
        <v>75472.83934058997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68043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67455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69746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75046.696000000011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-1641.7299686550541</v>
      </c>
      <c r="T170" s="39"/>
      <c r="U170" s="39"/>
      <c r="V170" s="53"/>
      <c r="W170" s="53"/>
      <c r="X170" s="110"/>
      <c r="Y170" s="39"/>
      <c r="Z170" s="39"/>
      <c r="AA170" s="54">
        <f>AA169-AA168</f>
        <v>-2584.680921068546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-147.38593164637859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-426.14334058995883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ebJPKCzZJv7RyicmljueMjEbOnFwazdvyv3KtXoGzwWpAFviibjr5rv4UY82xNzvcG2geg3xQwb31AzASmh/FA==" saltValue="fxMO+F5K+MKIHvkENjZkp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Mineral Resources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29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42671.508937037041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NAT_HRBP__42671.508937037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HRBP-Vote29.xlsx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dcmitype/"/>
    <ds:schemaRef ds:uri="http://www.w3.org/XML/1998/namespace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df7ca258-5e24-45de-bd31-dbc76bc6765a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